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wentaryzacja" sheetId="1" r:id="rId1"/>
    <sheet name="Spis z natury" sheetId="2" r:id="rId2"/>
    <sheet name="Invenva" sheetId="3" r:id="rId3"/>
  </sheets>
  <definedNames>
    <definedName name="_xlnm.Print_Area" localSheetId="0">OFFSET('Inwentaryzacja'!$A$1,0,0,MAX(36,6+COUNTA('Inwentaryzacja'!$A$7:$A$506)),7)</definedName>
    <definedName name="_xlnm.Print_Titles" localSheetId="0">'Inwentaryzacja'!$6:$6</definedName>
    <definedName name="_xlnm.Print_Area" localSheetId="1">OFFSET('Spis z natury'!$A$1,0,0,MAX(47,17+IFERROR(MATCH(9.99E+307,'Spis z natury'!$A$18:$A$517),0)+1),8)</definedName>
    <definedName name="_xlnm.Print_Titles" localSheetId="1">'Spis z natury'!$17:$17</definedName>
  </definedNames>
  <calcPr calcId="12451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  <font>
      <i/>
      <sz val="9"/>
      <color rgb="FF5959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4" fontId="0" fillId="0" borderId="2" xfId="0" applyBorder="1" applyNumberFormat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pl/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20" customHeight="1"/>
  <cols>
    <col min="1" max="1" width="32" customWidth="1"/>
    <col min="2" max="2" width="13" customWidth="1"/>
    <col min="3" max="3" width="12" customWidth="1"/>
    <col min="4" max="4" width="13" customWidth="1"/>
    <col min="5" max="5" width="12" customWidth="1"/>
    <col min="6" max="6" width="18" customWidth="1"/>
    <col min="7" max="7" width="28" customWidth="1"/>
  </cols>
  <sheetData>
    <row r="1" ht="28" customHeight="1">
      <c r="A1" t="inlineStr" s="3">
        <is>
          <t xml:space="preserve">Inwentaryzacja</t>
        </is>
      </c>
    </row>
    <row r="2">
      <c r="A2" t="inlineStr" s="2">
        <is>
          <t xml:space="preserve">invenva.com</t>
        </is>
      </c>
    </row>
    <row r="3">
      <c r="A3" t="inlineStr" s="4">
        <is>
          <t xml:space="preserve">Data</t>
        </is>
      </c>
      <c r="B3" s="6"/>
      <c r="D3" t="inlineStr" s="4">
        <is>
          <t xml:space="preserve">Liczył(a)</t>
        </is>
      </c>
      <c r="E3" s="5"/>
      <c r="F3" s="5"/>
      <c r="G3" s="5"/>
    </row>
    <row r="4">
      <c r="A4" t="inlineStr" s="4">
        <is>
          <t xml:space="preserve">Lokalizacja</t>
        </is>
      </c>
      <c r="B4" s="5"/>
      <c r="C4" s="5"/>
    </row>
    <row r="6">
      <c r="A6" t="inlineStr" s="13">
        <is>
          <t xml:space="preserve">Nazwa</t>
        </is>
      </c>
      <c r="B6" t="inlineStr" s="13">
        <is>
          <t xml:space="preserve">Jednostka</t>
        </is>
      </c>
      <c r="C6" t="inlineStr" s="13">
        <is>
          <t xml:space="preserve">Ilość</t>
        </is>
      </c>
      <c r="D6" t="inlineStr" s="13">
        <is>
          <t xml:space="preserve">Policzone</t>
        </is>
      </c>
      <c r="E6" t="inlineStr" s="13">
        <is>
          <t xml:space="preserve">Różnica</t>
        </is>
      </c>
      <c r="F6" t="inlineStr" s="13">
        <is>
          <t xml:space="preserve">Powód</t>
        </is>
      </c>
      <c r="G6" t="inlineStr" s="13">
        <is>
          <t xml:space="preserve">Notatki</t>
        </is>
      </c>
    </row>
    <row r="7">
      <c r="A7" s="11"/>
      <c r="B7" s="11"/>
      <c r="C7" s="11"/>
      <c r="D7" s="11"/>
      <c r="E7" s="15">
        <f>IF(OR($A7="",$D7=""),"",IF(ISNUMBER($D7),$D7,0)-IF(ISNUMBER($C7),$C7,0))</f>
      </c>
      <c r="F7" s="11"/>
      <c r="G7" s="11"/>
    </row>
    <row r="8">
      <c r="A8" s="11"/>
      <c r="B8" s="11"/>
      <c r="C8" s="11"/>
      <c r="D8" s="11"/>
      <c r="E8" s="15">
        <f>IF(OR($A8="",$D8=""),"",IF(ISNUMBER($D8),$D8,0)-IF(ISNUMBER($C8),$C8,0))</f>
      </c>
      <c r="F8" s="11"/>
      <c r="G8" s="11"/>
    </row>
    <row r="9">
      <c r="A9" s="11"/>
      <c r="B9" s="11"/>
      <c r="C9" s="11"/>
      <c r="D9" s="11"/>
      <c r="E9" s="15">
        <f>IF(OR($A9="",$D9=""),"",IF(ISNUMBER($D9),$D9,0)-IF(ISNUMBER($C9),$C9,0))</f>
      </c>
      <c r="F9" s="11"/>
      <c r="G9" s="11"/>
    </row>
    <row r="10">
      <c r="A10" s="11"/>
      <c r="B10" s="11"/>
      <c r="C10" s="11"/>
      <c r="D10" s="11"/>
      <c r="E10" s="15">
        <f>IF(OR($A10="",$D10=""),"",IF(ISNUMBER($D10),$D10,0)-IF(ISNUMBER($C10),$C10,0))</f>
      </c>
      <c r="F10" s="11"/>
      <c r="G10" s="11"/>
    </row>
    <row r="11">
      <c r="A11" s="11"/>
      <c r="B11" s="11"/>
      <c r="C11" s="11"/>
      <c r="D11" s="11"/>
      <c r="E11" s="15">
        <f>IF(OR($A11="",$D11=""),"",IF(ISNUMBER($D11),$D11,0)-IF(ISNUMBER($C11),$C11,0))</f>
      </c>
      <c r="F11" s="11"/>
      <c r="G11" s="11"/>
    </row>
    <row r="12">
      <c r="A12" s="11"/>
      <c r="B12" s="11"/>
      <c r="C12" s="11"/>
      <c r="D12" s="11"/>
      <c r="E12" s="15">
        <f>IF(OR($A12="",$D12=""),"",IF(ISNUMBER($D12),$D12,0)-IF(ISNUMBER($C12),$C12,0))</f>
      </c>
      <c r="F12" s="11"/>
      <c r="G12" s="11"/>
    </row>
    <row r="13">
      <c r="A13" s="11"/>
      <c r="B13" s="11"/>
      <c r="C13" s="11"/>
      <c r="D13" s="11"/>
      <c r="E13" s="15">
        <f>IF(OR($A13="",$D13=""),"",IF(ISNUMBER($D13),$D13,0)-IF(ISNUMBER($C13),$C13,0))</f>
      </c>
      <c r="F13" s="11"/>
      <c r="G13" s="11"/>
    </row>
    <row r="14">
      <c r="A14" s="11"/>
      <c r="B14" s="11"/>
      <c r="C14" s="11"/>
      <c r="D14" s="11"/>
      <c r="E14" s="15">
        <f>IF(OR($A14="",$D14=""),"",IF(ISNUMBER($D14),$D14,0)-IF(ISNUMBER($C14),$C14,0))</f>
      </c>
      <c r="F14" s="11"/>
      <c r="G14" s="11"/>
    </row>
    <row r="15">
      <c r="A15" s="11"/>
      <c r="B15" s="11"/>
      <c r="C15" s="11"/>
      <c r="D15" s="11"/>
      <c r="E15" s="15">
        <f>IF(OR($A15="",$D15=""),"",IF(ISNUMBER($D15),$D15,0)-IF(ISNUMBER($C15),$C15,0))</f>
      </c>
      <c r="F15" s="11"/>
      <c r="G15" s="11"/>
    </row>
    <row r="16">
      <c r="A16" s="11"/>
      <c r="B16" s="11"/>
      <c r="C16" s="11"/>
      <c r="D16" s="11"/>
      <c r="E16" s="15">
        <f>IF(OR($A16="",$D16=""),"",IF(ISNUMBER($D16),$D16,0)-IF(ISNUMBER($C16),$C16,0))</f>
      </c>
      <c r="F16" s="11"/>
      <c r="G16" s="11"/>
    </row>
    <row r="17">
      <c r="A17" s="11"/>
      <c r="B17" s="11"/>
      <c r="C17" s="11"/>
      <c r="D17" s="11"/>
      <c r="E17" s="15">
        <f>IF(OR($A17="",$D17=""),"",IF(ISNUMBER($D17),$D17,0)-IF(ISNUMBER($C17),$C17,0))</f>
      </c>
      <c r="F17" s="11"/>
      <c r="G17" s="11"/>
    </row>
    <row r="18">
      <c r="A18" s="11"/>
      <c r="B18" s="11"/>
      <c r="C18" s="11"/>
      <c r="D18" s="11"/>
      <c r="E18" s="15">
        <f>IF(OR($A18="",$D18=""),"",IF(ISNUMBER($D18),$D18,0)-IF(ISNUMBER($C18),$C18,0))</f>
      </c>
      <c r="F18" s="11"/>
      <c r="G18" s="11"/>
    </row>
    <row r="19">
      <c r="A19" s="11"/>
      <c r="B19" s="11"/>
      <c r="C19" s="11"/>
      <c r="D19" s="11"/>
      <c r="E19" s="15">
        <f>IF(OR($A19="",$D19=""),"",IF(ISNUMBER($D19),$D19,0)-IF(ISNUMBER($C19),$C19,0))</f>
      </c>
      <c r="F19" s="11"/>
      <c r="G19" s="11"/>
    </row>
    <row r="20">
      <c r="A20" s="11"/>
      <c r="B20" s="11"/>
      <c r="C20" s="11"/>
      <c r="D20" s="11"/>
      <c r="E20" s="15">
        <f>IF(OR($A20="",$D20=""),"",IF(ISNUMBER($D20),$D20,0)-IF(ISNUMBER($C20),$C20,0))</f>
      </c>
      <c r="F20" s="11"/>
      <c r="G20" s="11"/>
    </row>
    <row r="21">
      <c r="A21" s="11"/>
      <c r="B21" s="11"/>
      <c r="C21" s="11"/>
      <c r="D21" s="11"/>
      <c r="E21" s="15">
        <f>IF(OR($A21="",$D21=""),"",IF(ISNUMBER($D21),$D21,0)-IF(ISNUMBER($C21),$C21,0))</f>
      </c>
      <c r="F21" s="11"/>
      <c r="G21" s="11"/>
    </row>
    <row r="22">
      <c r="A22" s="11"/>
      <c r="B22" s="11"/>
      <c r="C22" s="11"/>
      <c r="D22" s="11"/>
      <c r="E22" s="15">
        <f>IF(OR($A22="",$D22=""),"",IF(ISNUMBER($D22),$D22,0)-IF(ISNUMBER($C22),$C22,0))</f>
      </c>
      <c r="F22" s="11"/>
      <c r="G22" s="11"/>
    </row>
    <row r="23">
      <c r="A23" s="11"/>
      <c r="B23" s="11"/>
      <c r="C23" s="11"/>
      <c r="D23" s="11"/>
      <c r="E23" s="15">
        <f>IF(OR($A23="",$D23=""),"",IF(ISNUMBER($D23),$D23,0)-IF(ISNUMBER($C23),$C23,0))</f>
      </c>
      <c r="F23" s="11"/>
      <c r="G23" s="11"/>
    </row>
    <row r="24">
      <c r="A24" s="11"/>
      <c r="B24" s="11"/>
      <c r="C24" s="11"/>
      <c r="D24" s="11"/>
      <c r="E24" s="15">
        <f>IF(OR($A24="",$D24=""),"",IF(ISNUMBER($D24),$D24,0)-IF(ISNUMBER($C24),$C24,0))</f>
      </c>
      <c r="F24" s="11"/>
      <c r="G24" s="11"/>
    </row>
    <row r="25">
      <c r="A25" s="11"/>
      <c r="B25" s="11"/>
      <c r="C25" s="11"/>
      <c r="D25" s="11"/>
      <c r="E25" s="15">
        <f>IF(OR($A25="",$D25=""),"",IF(ISNUMBER($D25),$D25,0)-IF(ISNUMBER($C25),$C25,0))</f>
      </c>
      <c r="F25" s="11"/>
      <c r="G25" s="11"/>
    </row>
    <row r="26">
      <c r="A26" s="11"/>
      <c r="B26" s="11"/>
      <c r="C26" s="11"/>
      <c r="D26" s="11"/>
      <c r="E26" s="15">
        <f>IF(OR($A26="",$D26=""),"",IF(ISNUMBER($D26),$D26,0)-IF(ISNUMBER($C26),$C26,0))</f>
      </c>
      <c r="F26" s="11"/>
      <c r="G26" s="11"/>
    </row>
    <row r="27">
      <c r="A27" s="11"/>
      <c r="B27" s="11"/>
      <c r="C27" s="11"/>
      <c r="D27" s="11"/>
      <c r="E27" s="15">
        <f>IF(OR($A27="",$D27=""),"",IF(ISNUMBER($D27),$D27,0)-IF(ISNUMBER($C27),$C27,0))</f>
      </c>
      <c r="F27" s="11"/>
      <c r="G27" s="11"/>
    </row>
    <row r="28">
      <c r="A28" s="11"/>
      <c r="B28" s="11"/>
      <c r="C28" s="11"/>
      <c r="D28" s="11"/>
      <c r="E28" s="15">
        <f>IF(OR($A28="",$D28=""),"",IF(ISNUMBER($D28),$D28,0)-IF(ISNUMBER($C28),$C28,0))</f>
      </c>
      <c r="F28" s="11"/>
      <c r="G28" s="11"/>
    </row>
    <row r="29">
      <c r="A29" s="11"/>
      <c r="B29" s="11"/>
      <c r="C29" s="11"/>
      <c r="D29" s="11"/>
      <c r="E29" s="15">
        <f>IF(OR($A29="",$D29=""),"",IF(ISNUMBER($D29),$D29,0)-IF(ISNUMBER($C29),$C29,0))</f>
      </c>
      <c r="F29" s="11"/>
      <c r="G29" s="11"/>
    </row>
    <row r="30">
      <c r="A30" s="11"/>
      <c r="B30" s="11"/>
      <c r="C30" s="11"/>
      <c r="D30" s="11"/>
      <c r="E30" s="15">
        <f>IF(OR($A30="",$D30=""),"",IF(ISNUMBER($D30),$D30,0)-IF(ISNUMBER($C30),$C30,0))</f>
      </c>
      <c r="F30" s="11"/>
      <c r="G30" s="11"/>
    </row>
    <row r="31">
      <c r="A31" s="11"/>
      <c r="B31" s="11"/>
      <c r="C31" s="11"/>
      <c r="D31" s="11"/>
      <c r="E31" s="15">
        <f>IF(OR($A31="",$D31=""),"",IF(ISNUMBER($D31),$D31,0)-IF(ISNUMBER($C31),$C31,0))</f>
      </c>
      <c r="F31" s="11"/>
      <c r="G31" s="11"/>
    </row>
    <row r="32">
      <c r="A32" s="11"/>
      <c r="B32" s="11"/>
      <c r="C32" s="11"/>
      <c r="D32" s="11"/>
      <c r="E32" s="15">
        <f>IF(OR($A32="",$D32=""),"",IF(ISNUMBER($D32),$D32,0)-IF(ISNUMBER($C32),$C32,0))</f>
      </c>
      <c r="F32" s="11"/>
      <c r="G32" s="11"/>
    </row>
    <row r="33">
      <c r="A33" s="11"/>
      <c r="B33" s="11"/>
      <c r="C33" s="11"/>
      <c r="D33" s="11"/>
      <c r="E33" s="15">
        <f>IF(OR($A33="",$D33=""),"",IF(ISNUMBER($D33),$D33,0)-IF(ISNUMBER($C33),$C33,0))</f>
      </c>
      <c r="F33" s="11"/>
      <c r="G33" s="11"/>
    </row>
    <row r="34">
      <c r="A34" s="11"/>
      <c r="B34" s="11"/>
      <c r="C34" s="11"/>
      <c r="D34" s="11"/>
      <c r="E34" s="15">
        <f>IF(OR($A34="",$D34=""),"",IF(ISNUMBER($D34),$D34,0)-IF(ISNUMBER($C34),$C34,0))</f>
      </c>
      <c r="F34" s="11"/>
      <c r="G34" s="11"/>
    </row>
    <row r="35">
      <c r="A35" s="11"/>
      <c r="B35" s="11"/>
      <c r="C35" s="11"/>
      <c r="D35" s="11"/>
      <c r="E35" s="15">
        <f>IF(OR($A35="",$D35=""),"",IF(ISNUMBER($D35),$D35,0)-IF(ISNUMBER($C35),$C35,0))</f>
      </c>
      <c r="F35" s="11"/>
      <c r="G35" s="11"/>
    </row>
    <row r="36">
      <c r="A36" s="11"/>
      <c r="B36" s="11"/>
      <c r="C36" s="11"/>
      <c r="D36" s="11"/>
      <c r="E36" s="15">
        <f>IF(OR($A36="",$D36=""),"",IF(ISNUMBER($D36),$D36,0)-IF(ISNUMBER($C36),$C36,0))</f>
      </c>
      <c r="F36" s="11"/>
      <c r="G36" s="11"/>
    </row>
    <row r="37">
      <c r="E37" s="7">
        <f>IF(OR($A37="",$D37=""),"",IF(ISNUMBER($D37),$D37,0)-IF(ISNUMBER($C37),$C37,0))</f>
      </c>
    </row>
    <row r="38">
      <c r="E38" s="7">
        <f>IF(OR($A38="",$D38=""),"",IF(ISNUMBER($D38),$D38,0)-IF(ISNUMBER($C38),$C38,0))</f>
      </c>
    </row>
    <row r="39">
      <c r="E39" s="7">
        <f>IF(OR($A39="",$D39=""),"",IF(ISNUMBER($D39),$D39,0)-IF(ISNUMBER($C39),$C39,0))</f>
      </c>
    </row>
    <row r="40">
      <c r="E40" s="7">
        <f>IF(OR($A40="",$D40=""),"",IF(ISNUMBER($D40),$D40,0)-IF(ISNUMBER($C40),$C40,0))</f>
      </c>
    </row>
    <row r="41">
      <c r="E41" s="7">
        <f>IF(OR($A41="",$D41=""),"",IF(ISNUMBER($D41),$D41,0)-IF(ISNUMBER($C41),$C41,0))</f>
      </c>
    </row>
    <row r="42">
      <c r="E42" s="7">
        <f>IF(OR($A42="",$D42=""),"",IF(ISNUMBER($D42),$D42,0)-IF(ISNUMBER($C42),$C42,0))</f>
      </c>
    </row>
    <row r="43">
      <c r="E43" s="7">
        <f>IF(OR($A43="",$D43=""),"",IF(ISNUMBER($D43),$D43,0)-IF(ISNUMBER($C43),$C43,0))</f>
      </c>
    </row>
    <row r="44">
      <c r="E44" s="7">
        <f>IF(OR($A44="",$D44=""),"",IF(ISNUMBER($D44),$D44,0)-IF(ISNUMBER($C44),$C44,0))</f>
      </c>
    </row>
    <row r="45">
      <c r="E45" s="7">
        <f>IF(OR($A45="",$D45=""),"",IF(ISNUMBER($D45),$D45,0)-IF(ISNUMBER($C45),$C45,0))</f>
      </c>
    </row>
    <row r="46">
      <c r="E46" s="7">
        <f>IF(OR($A46="",$D46=""),"",IF(ISNUMBER($D46),$D46,0)-IF(ISNUMBER($C46),$C46,0))</f>
      </c>
    </row>
    <row r="47">
      <c r="E47" s="7">
        <f>IF(OR($A47="",$D47=""),"",IF(ISNUMBER($D47),$D47,0)-IF(ISNUMBER($C47),$C47,0))</f>
      </c>
    </row>
    <row r="48">
      <c r="E48" s="7">
        <f>IF(OR($A48="",$D48=""),"",IF(ISNUMBER($D48),$D48,0)-IF(ISNUMBER($C48),$C48,0))</f>
      </c>
    </row>
    <row r="49">
      <c r="E49" s="7">
        <f>IF(OR($A49="",$D49=""),"",IF(ISNUMBER($D49),$D49,0)-IF(ISNUMBER($C49),$C49,0))</f>
      </c>
    </row>
    <row r="50">
      <c r="E50" s="7">
        <f>IF(OR($A50="",$D50=""),"",IF(ISNUMBER($D50),$D50,0)-IF(ISNUMBER($C50),$C50,0))</f>
      </c>
    </row>
    <row r="51">
      <c r="E51" s="7">
        <f>IF(OR($A51="",$D51=""),"",IF(ISNUMBER($D51),$D51,0)-IF(ISNUMBER($C51),$C51,0))</f>
      </c>
    </row>
    <row r="52">
      <c r="E52" s="7">
        <f>IF(OR($A52="",$D52=""),"",IF(ISNUMBER($D52),$D52,0)-IF(ISNUMBER($C52),$C52,0))</f>
      </c>
    </row>
    <row r="53">
      <c r="E53" s="7">
        <f>IF(OR($A53="",$D53=""),"",IF(ISNUMBER($D53),$D53,0)-IF(ISNUMBER($C53),$C53,0))</f>
      </c>
    </row>
    <row r="54">
      <c r="E54" s="7">
        <f>IF(OR($A54="",$D54=""),"",IF(ISNUMBER($D54),$D54,0)-IF(ISNUMBER($C54),$C54,0))</f>
      </c>
    </row>
    <row r="55">
      <c r="E55" s="7">
        <f>IF(OR($A55="",$D55=""),"",IF(ISNUMBER($D55),$D55,0)-IF(ISNUMBER($C55),$C55,0))</f>
      </c>
    </row>
    <row r="56">
      <c r="E56" s="7">
        <f>IF(OR($A56="",$D56=""),"",IF(ISNUMBER($D56),$D56,0)-IF(ISNUMBER($C56),$C56,0))</f>
      </c>
    </row>
    <row r="57">
      <c r="E57" s="7">
        <f>IF(OR($A57="",$D57=""),"",IF(ISNUMBER($D57),$D57,0)-IF(ISNUMBER($C57),$C57,0))</f>
      </c>
    </row>
    <row r="58">
      <c r="E58" s="7">
        <f>IF(OR($A58="",$D58=""),"",IF(ISNUMBER($D58),$D58,0)-IF(ISNUMBER($C58),$C58,0))</f>
      </c>
    </row>
    <row r="59">
      <c r="E59" s="7">
        <f>IF(OR($A59="",$D59=""),"",IF(ISNUMBER($D59),$D59,0)-IF(ISNUMBER($C59),$C59,0))</f>
      </c>
    </row>
    <row r="60">
      <c r="E60" s="7">
        <f>IF(OR($A60="",$D60=""),"",IF(ISNUMBER($D60),$D60,0)-IF(ISNUMBER($C60),$C60,0))</f>
      </c>
    </row>
    <row r="61">
      <c r="E61" s="7">
        <f>IF(OR($A61="",$D61=""),"",IF(ISNUMBER($D61),$D61,0)-IF(ISNUMBER($C61),$C61,0))</f>
      </c>
    </row>
    <row r="62">
      <c r="E62" s="7">
        <f>IF(OR($A62="",$D62=""),"",IF(ISNUMBER($D62),$D62,0)-IF(ISNUMBER($C62),$C62,0))</f>
      </c>
    </row>
    <row r="63">
      <c r="E63" s="7">
        <f>IF(OR($A63="",$D63=""),"",IF(ISNUMBER($D63),$D63,0)-IF(ISNUMBER($C63),$C63,0))</f>
      </c>
    </row>
    <row r="64">
      <c r="E64" s="7">
        <f>IF(OR($A64="",$D64=""),"",IF(ISNUMBER($D64),$D64,0)-IF(ISNUMBER($C64),$C64,0))</f>
      </c>
    </row>
    <row r="65">
      <c r="E65" s="7">
        <f>IF(OR($A65="",$D65=""),"",IF(ISNUMBER($D65),$D65,0)-IF(ISNUMBER($C65),$C65,0))</f>
      </c>
    </row>
    <row r="66">
      <c r="E66" s="7">
        <f>IF(OR($A66="",$D66=""),"",IF(ISNUMBER($D66),$D66,0)-IF(ISNUMBER($C66),$C66,0))</f>
      </c>
    </row>
    <row r="67">
      <c r="E67" s="7">
        <f>IF(OR($A67="",$D67=""),"",IF(ISNUMBER($D67),$D67,0)-IF(ISNUMBER($C67),$C67,0))</f>
      </c>
    </row>
    <row r="68">
      <c r="E68" s="7">
        <f>IF(OR($A68="",$D68=""),"",IF(ISNUMBER($D68),$D68,0)-IF(ISNUMBER($C68),$C68,0))</f>
      </c>
    </row>
    <row r="69">
      <c r="E69" s="7">
        <f>IF(OR($A69="",$D69=""),"",IF(ISNUMBER($D69),$D69,0)-IF(ISNUMBER($C69),$C69,0))</f>
      </c>
    </row>
    <row r="70">
      <c r="E70" s="7">
        <f>IF(OR($A70="",$D70=""),"",IF(ISNUMBER($D70),$D70,0)-IF(ISNUMBER($C70),$C70,0))</f>
      </c>
    </row>
    <row r="71">
      <c r="E71" s="7">
        <f>IF(OR($A71="",$D71=""),"",IF(ISNUMBER($D71),$D71,0)-IF(ISNUMBER($C71),$C71,0))</f>
      </c>
    </row>
    <row r="72">
      <c r="E72" s="7">
        <f>IF(OR($A72="",$D72=""),"",IF(ISNUMBER($D72),$D72,0)-IF(ISNUMBER($C72),$C72,0))</f>
      </c>
    </row>
    <row r="73">
      <c r="E73" s="7">
        <f>IF(OR($A73="",$D73=""),"",IF(ISNUMBER($D73),$D73,0)-IF(ISNUMBER($C73),$C73,0))</f>
      </c>
    </row>
    <row r="74">
      <c r="E74" s="7">
        <f>IF(OR($A74="",$D74=""),"",IF(ISNUMBER($D74),$D74,0)-IF(ISNUMBER($C74),$C74,0))</f>
      </c>
    </row>
    <row r="75">
      <c r="E75" s="7">
        <f>IF(OR($A75="",$D75=""),"",IF(ISNUMBER($D75),$D75,0)-IF(ISNUMBER($C75),$C75,0))</f>
      </c>
    </row>
    <row r="76">
      <c r="E76" s="7">
        <f>IF(OR($A76="",$D76=""),"",IF(ISNUMBER($D76),$D76,0)-IF(ISNUMBER($C76),$C76,0))</f>
      </c>
    </row>
    <row r="77">
      <c r="E77" s="7">
        <f>IF(OR($A77="",$D77=""),"",IF(ISNUMBER($D77),$D77,0)-IF(ISNUMBER($C77),$C77,0))</f>
      </c>
    </row>
    <row r="78">
      <c r="E78" s="7">
        <f>IF(OR($A78="",$D78=""),"",IF(ISNUMBER($D78),$D78,0)-IF(ISNUMBER($C78),$C78,0))</f>
      </c>
    </row>
    <row r="79">
      <c r="E79" s="7">
        <f>IF(OR($A79="",$D79=""),"",IF(ISNUMBER($D79),$D79,0)-IF(ISNUMBER($C79),$C79,0))</f>
      </c>
    </row>
    <row r="80">
      <c r="E80" s="7">
        <f>IF(OR($A80="",$D80=""),"",IF(ISNUMBER($D80),$D80,0)-IF(ISNUMBER($C80),$C80,0))</f>
      </c>
    </row>
    <row r="81">
      <c r="E81" s="7">
        <f>IF(OR($A81="",$D81=""),"",IF(ISNUMBER($D81),$D81,0)-IF(ISNUMBER($C81),$C81,0))</f>
      </c>
    </row>
    <row r="82">
      <c r="E82" s="7">
        <f>IF(OR($A82="",$D82=""),"",IF(ISNUMBER($D82),$D82,0)-IF(ISNUMBER($C82),$C82,0))</f>
      </c>
    </row>
    <row r="83">
      <c r="E83" s="7">
        <f>IF(OR($A83="",$D83=""),"",IF(ISNUMBER($D83),$D83,0)-IF(ISNUMBER($C83),$C83,0))</f>
      </c>
    </row>
    <row r="84">
      <c r="E84" s="7">
        <f>IF(OR($A84="",$D84=""),"",IF(ISNUMBER($D84),$D84,0)-IF(ISNUMBER($C84),$C84,0))</f>
      </c>
    </row>
    <row r="85">
      <c r="E85" s="7">
        <f>IF(OR($A85="",$D85=""),"",IF(ISNUMBER($D85),$D85,0)-IF(ISNUMBER($C85),$C85,0))</f>
      </c>
    </row>
    <row r="86">
      <c r="E86" s="7">
        <f>IF(OR($A86="",$D86=""),"",IF(ISNUMBER($D86),$D86,0)-IF(ISNUMBER($C86),$C86,0))</f>
      </c>
    </row>
    <row r="87">
      <c r="E87" s="7">
        <f>IF(OR($A87="",$D87=""),"",IF(ISNUMBER($D87),$D87,0)-IF(ISNUMBER($C87),$C87,0))</f>
      </c>
    </row>
    <row r="88">
      <c r="E88" s="7">
        <f>IF(OR($A88="",$D88=""),"",IF(ISNUMBER($D88),$D88,0)-IF(ISNUMBER($C88),$C88,0))</f>
      </c>
    </row>
    <row r="89">
      <c r="E89" s="7">
        <f>IF(OR($A89="",$D89=""),"",IF(ISNUMBER($D89),$D89,0)-IF(ISNUMBER($C89),$C89,0))</f>
      </c>
    </row>
    <row r="90">
      <c r="E90" s="7">
        <f>IF(OR($A90="",$D90=""),"",IF(ISNUMBER($D90),$D90,0)-IF(ISNUMBER($C90),$C90,0))</f>
      </c>
    </row>
    <row r="91">
      <c r="E91" s="7">
        <f>IF(OR($A91="",$D91=""),"",IF(ISNUMBER($D91),$D91,0)-IF(ISNUMBER($C91),$C91,0))</f>
      </c>
    </row>
    <row r="92">
      <c r="E92" s="7">
        <f>IF(OR($A92="",$D92=""),"",IF(ISNUMBER($D92),$D92,0)-IF(ISNUMBER($C92),$C92,0))</f>
      </c>
    </row>
    <row r="93">
      <c r="E93" s="7">
        <f>IF(OR($A93="",$D93=""),"",IF(ISNUMBER($D93),$D93,0)-IF(ISNUMBER($C93),$C93,0))</f>
      </c>
    </row>
    <row r="94">
      <c r="E94" s="7">
        <f>IF(OR($A94="",$D94=""),"",IF(ISNUMBER($D94),$D94,0)-IF(ISNUMBER($C94),$C94,0))</f>
      </c>
    </row>
    <row r="95">
      <c r="E95" s="7">
        <f>IF(OR($A95="",$D95=""),"",IF(ISNUMBER($D95),$D95,0)-IF(ISNUMBER($C95),$C95,0))</f>
      </c>
    </row>
    <row r="96">
      <c r="E96" s="7">
        <f>IF(OR($A96="",$D96=""),"",IF(ISNUMBER($D96),$D96,0)-IF(ISNUMBER($C96),$C96,0))</f>
      </c>
    </row>
    <row r="97">
      <c r="E97" s="7">
        <f>IF(OR($A97="",$D97=""),"",IF(ISNUMBER($D97),$D97,0)-IF(ISNUMBER($C97),$C97,0))</f>
      </c>
    </row>
    <row r="98">
      <c r="E98" s="7">
        <f>IF(OR($A98="",$D98=""),"",IF(ISNUMBER($D98),$D98,0)-IF(ISNUMBER($C98),$C98,0))</f>
      </c>
    </row>
    <row r="99">
      <c r="E99" s="7">
        <f>IF(OR($A99="",$D99=""),"",IF(ISNUMBER($D99),$D99,0)-IF(ISNUMBER($C99),$C99,0))</f>
      </c>
    </row>
    <row r="100">
      <c r="E100" s="7">
        <f>IF(OR($A100="",$D100=""),"",IF(ISNUMBER($D100),$D100,0)-IF(ISNUMBER($C100),$C100,0))</f>
      </c>
    </row>
    <row r="101">
      <c r="E101" s="7">
        <f>IF(OR($A101="",$D101=""),"",IF(ISNUMBER($D101),$D101,0)-IF(ISNUMBER($C101),$C101,0))</f>
      </c>
    </row>
    <row r="102">
      <c r="E102" s="7">
        <f>IF(OR($A102="",$D102=""),"",IF(ISNUMBER($D102),$D102,0)-IF(ISNUMBER($C102),$C102,0))</f>
      </c>
    </row>
    <row r="103">
      <c r="E103" s="7">
        <f>IF(OR($A103="",$D103=""),"",IF(ISNUMBER($D103),$D103,0)-IF(ISNUMBER($C103),$C103,0))</f>
      </c>
    </row>
    <row r="104">
      <c r="E104" s="7">
        <f>IF(OR($A104="",$D104=""),"",IF(ISNUMBER($D104),$D104,0)-IF(ISNUMBER($C104),$C104,0))</f>
      </c>
    </row>
    <row r="105">
      <c r="E105" s="7">
        <f>IF(OR($A105="",$D105=""),"",IF(ISNUMBER($D105),$D105,0)-IF(ISNUMBER($C105),$C105,0))</f>
      </c>
    </row>
    <row r="106">
      <c r="E106" s="7">
        <f>IF(OR($A106="",$D106=""),"",IF(ISNUMBER($D106),$D106,0)-IF(ISNUMBER($C106),$C106,0))</f>
      </c>
    </row>
    <row r="107">
      <c r="E107" s="7">
        <f>IF(OR($A107="",$D107=""),"",IF(ISNUMBER($D107),$D107,0)-IF(ISNUMBER($C107),$C107,0))</f>
      </c>
    </row>
    <row r="108">
      <c r="E108" s="7">
        <f>IF(OR($A108="",$D108=""),"",IF(ISNUMBER($D108),$D108,0)-IF(ISNUMBER($C108),$C108,0))</f>
      </c>
    </row>
    <row r="109">
      <c r="E109" s="7">
        <f>IF(OR($A109="",$D109=""),"",IF(ISNUMBER($D109),$D109,0)-IF(ISNUMBER($C109),$C109,0))</f>
      </c>
    </row>
    <row r="110">
      <c r="E110" s="7">
        <f>IF(OR($A110="",$D110=""),"",IF(ISNUMBER($D110),$D110,0)-IF(ISNUMBER($C110),$C110,0))</f>
      </c>
    </row>
    <row r="111">
      <c r="E111" s="7">
        <f>IF(OR($A111="",$D111=""),"",IF(ISNUMBER($D111),$D111,0)-IF(ISNUMBER($C111),$C111,0))</f>
      </c>
    </row>
    <row r="112">
      <c r="E112" s="7">
        <f>IF(OR($A112="",$D112=""),"",IF(ISNUMBER($D112),$D112,0)-IF(ISNUMBER($C112),$C112,0))</f>
      </c>
    </row>
    <row r="113">
      <c r="E113" s="7">
        <f>IF(OR($A113="",$D113=""),"",IF(ISNUMBER($D113),$D113,0)-IF(ISNUMBER($C113),$C113,0))</f>
      </c>
    </row>
    <row r="114">
      <c r="E114" s="7">
        <f>IF(OR($A114="",$D114=""),"",IF(ISNUMBER($D114),$D114,0)-IF(ISNUMBER($C114),$C114,0))</f>
      </c>
    </row>
    <row r="115">
      <c r="E115" s="7">
        <f>IF(OR($A115="",$D115=""),"",IF(ISNUMBER($D115),$D115,0)-IF(ISNUMBER($C115),$C115,0))</f>
      </c>
    </row>
    <row r="116">
      <c r="E116" s="7">
        <f>IF(OR($A116="",$D116=""),"",IF(ISNUMBER($D116),$D116,0)-IF(ISNUMBER($C116),$C116,0))</f>
      </c>
    </row>
    <row r="117">
      <c r="E117" s="7">
        <f>IF(OR($A117="",$D117=""),"",IF(ISNUMBER($D117),$D117,0)-IF(ISNUMBER($C117),$C117,0))</f>
      </c>
    </row>
    <row r="118">
      <c r="E118" s="7">
        <f>IF(OR($A118="",$D118=""),"",IF(ISNUMBER($D118),$D118,0)-IF(ISNUMBER($C118),$C118,0))</f>
      </c>
    </row>
    <row r="119">
      <c r="E119" s="7">
        <f>IF(OR($A119="",$D119=""),"",IF(ISNUMBER($D119),$D119,0)-IF(ISNUMBER($C119),$C119,0))</f>
      </c>
    </row>
    <row r="120">
      <c r="E120" s="7">
        <f>IF(OR($A120="",$D120=""),"",IF(ISNUMBER($D120),$D120,0)-IF(ISNUMBER($C120),$C120,0))</f>
      </c>
    </row>
    <row r="121">
      <c r="E121" s="7">
        <f>IF(OR($A121="",$D121=""),"",IF(ISNUMBER($D121),$D121,0)-IF(ISNUMBER($C121),$C121,0))</f>
      </c>
    </row>
    <row r="122">
      <c r="E122" s="7">
        <f>IF(OR($A122="",$D122=""),"",IF(ISNUMBER($D122),$D122,0)-IF(ISNUMBER($C122),$C122,0))</f>
      </c>
    </row>
    <row r="123">
      <c r="E123" s="7">
        <f>IF(OR($A123="",$D123=""),"",IF(ISNUMBER($D123),$D123,0)-IF(ISNUMBER($C123),$C123,0))</f>
      </c>
    </row>
    <row r="124">
      <c r="E124" s="7">
        <f>IF(OR($A124="",$D124=""),"",IF(ISNUMBER($D124),$D124,0)-IF(ISNUMBER($C124),$C124,0))</f>
      </c>
    </row>
    <row r="125">
      <c r="E125" s="7">
        <f>IF(OR($A125="",$D125=""),"",IF(ISNUMBER($D125),$D125,0)-IF(ISNUMBER($C125),$C125,0))</f>
      </c>
    </row>
    <row r="126">
      <c r="E126" s="7">
        <f>IF(OR($A126="",$D126=""),"",IF(ISNUMBER($D126),$D126,0)-IF(ISNUMBER($C126),$C126,0))</f>
      </c>
    </row>
    <row r="127">
      <c r="E127" s="7">
        <f>IF(OR($A127="",$D127=""),"",IF(ISNUMBER($D127),$D127,0)-IF(ISNUMBER($C127),$C127,0))</f>
      </c>
    </row>
    <row r="128">
      <c r="E128" s="7">
        <f>IF(OR($A128="",$D128=""),"",IF(ISNUMBER($D128),$D128,0)-IF(ISNUMBER($C128),$C128,0))</f>
      </c>
    </row>
    <row r="129">
      <c r="E129" s="7">
        <f>IF(OR($A129="",$D129=""),"",IF(ISNUMBER($D129),$D129,0)-IF(ISNUMBER($C129),$C129,0))</f>
      </c>
    </row>
    <row r="130">
      <c r="E130" s="7">
        <f>IF(OR($A130="",$D130=""),"",IF(ISNUMBER($D130),$D130,0)-IF(ISNUMBER($C130),$C130,0))</f>
      </c>
    </row>
    <row r="131">
      <c r="E131" s="7">
        <f>IF(OR($A131="",$D131=""),"",IF(ISNUMBER($D131),$D131,0)-IF(ISNUMBER($C131),$C131,0))</f>
      </c>
    </row>
    <row r="132">
      <c r="E132" s="7">
        <f>IF(OR($A132="",$D132=""),"",IF(ISNUMBER($D132),$D132,0)-IF(ISNUMBER($C132),$C132,0))</f>
      </c>
    </row>
    <row r="133">
      <c r="E133" s="7">
        <f>IF(OR($A133="",$D133=""),"",IF(ISNUMBER($D133),$D133,0)-IF(ISNUMBER($C133),$C133,0))</f>
      </c>
    </row>
    <row r="134">
      <c r="E134" s="7">
        <f>IF(OR($A134="",$D134=""),"",IF(ISNUMBER($D134),$D134,0)-IF(ISNUMBER($C134),$C134,0))</f>
      </c>
    </row>
    <row r="135">
      <c r="E135" s="7">
        <f>IF(OR($A135="",$D135=""),"",IF(ISNUMBER($D135),$D135,0)-IF(ISNUMBER($C135),$C135,0))</f>
      </c>
    </row>
    <row r="136">
      <c r="E136" s="7">
        <f>IF(OR($A136="",$D136=""),"",IF(ISNUMBER($D136),$D136,0)-IF(ISNUMBER($C136),$C136,0))</f>
      </c>
    </row>
    <row r="137">
      <c r="E137" s="7">
        <f>IF(OR($A137="",$D137=""),"",IF(ISNUMBER($D137),$D137,0)-IF(ISNUMBER($C137),$C137,0))</f>
      </c>
    </row>
    <row r="138">
      <c r="E138" s="7">
        <f>IF(OR($A138="",$D138=""),"",IF(ISNUMBER($D138),$D138,0)-IF(ISNUMBER($C138),$C138,0))</f>
      </c>
    </row>
    <row r="139">
      <c r="E139" s="7">
        <f>IF(OR($A139="",$D139=""),"",IF(ISNUMBER($D139),$D139,0)-IF(ISNUMBER($C139),$C139,0))</f>
      </c>
    </row>
    <row r="140">
      <c r="E140" s="7">
        <f>IF(OR($A140="",$D140=""),"",IF(ISNUMBER($D140),$D140,0)-IF(ISNUMBER($C140),$C140,0))</f>
      </c>
    </row>
    <row r="141">
      <c r="E141" s="7">
        <f>IF(OR($A141="",$D141=""),"",IF(ISNUMBER($D141),$D141,0)-IF(ISNUMBER($C141),$C141,0))</f>
      </c>
    </row>
    <row r="142">
      <c r="E142" s="7">
        <f>IF(OR($A142="",$D142=""),"",IF(ISNUMBER($D142),$D142,0)-IF(ISNUMBER($C142),$C142,0))</f>
      </c>
    </row>
    <row r="143">
      <c r="E143" s="7">
        <f>IF(OR($A143="",$D143=""),"",IF(ISNUMBER($D143),$D143,0)-IF(ISNUMBER($C143),$C143,0))</f>
      </c>
    </row>
    <row r="144">
      <c r="E144" s="7">
        <f>IF(OR($A144="",$D144=""),"",IF(ISNUMBER($D144),$D144,0)-IF(ISNUMBER($C144),$C144,0))</f>
      </c>
    </row>
    <row r="145">
      <c r="E145" s="7">
        <f>IF(OR($A145="",$D145=""),"",IF(ISNUMBER($D145),$D145,0)-IF(ISNUMBER($C145),$C145,0))</f>
      </c>
    </row>
    <row r="146">
      <c r="E146" s="7">
        <f>IF(OR($A146="",$D146=""),"",IF(ISNUMBER($D146),$D146,0)-IF(ISNUMBER($C146),$C146,0))</f>
      </c>
    </row>
    <row r="147">
      <c r="E147" s="7">
        <f>IF(OR($A147="",$D147=""),"",IF(ISNUMBER($D147),$D147,0)-IF(ISNUMBER($C147),$C147,0))</f>
      </c>
    </row>
    <row r="148">
      <c r="E148" s="7">
        <f>IF(OR($A148="",$D148=""),"",IF(ISNUMBER($D148),$D148,0)-IF(ISNUMBER($C148),$C148,0))</f>
      </c>
    </row>
    <row r="149">
      <c r="E149" s="7">
        <f>IF(OR($A149="",$D149=""),"",IF(ISNUMBER($D149),$D149,0)-IF(ISNUMBER($C149),$C149,0))</f>
      </c>
    </row>
    <row r="150">
      <c r="E150" s="7">
        <f>IF(OR($A150="",$D150=""),"",IF(ISNUMBER($D150),$D150,0)-IF(ISNUMBER($C150),$C150,0))</f>
      </c>
    </row>
    <row r="151">
      <c r="E151" s="7">
        <f>IF(OR($A151="",$D151=""),"",IF(ISNUMBER($D151),$D151,0)-IF(ISNUMBER($C151),$C151,0))</f>
      </c>
    </row>
    <row r="152">
      <c r="E152" s="7">
        <f>IF(OR($A152="",$D152=""),"",IF(ISNUMBER($D152),$D152,0)-IF(ISNUMBER($C152),$C152,0))</f>
      </c>
    </row>
    <row r="153">
      <c r="E153" s="7">
        <f>IF(OR($A153="",$D153=""),"",IF(ISNUMBER($D153),$D153,0)-IF(ISNUMBER($C153),$C153,0))</f>
      </c>
    </row>
    <row r="154">
      <c r="E154" s="7">
        <f>IF(OR($A154="",$D154=""),"",IF(ISNUMBER($D154),$D154,0)-IF(ISNUMBER($C154),$C154,0))</f>
      </c>
    </row>
    <row r="155">
      <c r="E155" s="7">
        <f>IF(OR($A155="",$D155=""),"",IF(ISNUMBER($D155),$D155,0)-IF(ISNUMBER($C155),$C155,0))</f>
      </c>
    </row>
    <row r="156">
      <c r="E156" s="7">
        <f>IF(OR($A156="",$D156=""),"",IF(ISNUMBER($D156),$D156,0)-IF(ISNUMBER($C156),$C156,0))</f>
      </c>
    </row>
    <row r="157">
      <c r="E157" s="7">
        <f>IF(OR($A157="",$D157=""),"",IF(ISNUMBER($D157),$D157,0)-IF(ISNUMBER($C157),$C157,0))</f>
      </c>
    </row>
    <row r="158">
      <c r="E158" s="7">
        <f>IF(OR($A158="",$D158=""),"",IF(ISNUMBER($D158),$D158,0)-IF(ISNUMBER($C158),$C158,0))</f>
      </c>
    </row>
    <row r="159">
      <c r="E159" s="7">
        <f>IF(OR($A159="",$D159=""),"",IF(ISNUMBER($D159),$D159,0)-IF(ISNUMBER($C159),$C159,0))</f>
      </c>
    </row>
    <row r="160">
      <c r="E160" s="7">
        <f>IF(OR($A160="",$D160=""),"",IF(ISNUMBER($D160),$D160,0)-IF(ISNUMBER($C160),$C160,0))</f>
      </c>
    </row>
    <row r="161">
      <c r="E161" s="7">
        <f>IF(OR($A161="",$D161=""),"",IF(ISNUMBER($D161),$D161,0)-IF(ISNUMBER($C161),$C161,0))</f>
      </c>
    </row>
    <row r="162">
      <c r="E162" s="7">
        <f>IF(OR($A162="",$D162=""),"",IF(ISNUMBER($D162),$D162,0)-IF(ISNUMBER($C162),$C162,0))</f>
      </c>
    </row>
    <row r="163">
      <c r="E163" s="7">
        <f>IF(OR($A163="",$D163=""),"",IF(ISNUMBER($D163),$D163,0)-IF(ISNUMBER($C163),$C163,0))</f>
      </c>
    </row>
    <row r="164">
      <c r="E164" s="7">
        <f>IF(OR($A164="",$D164=""),"",IF(ISNUMBER($D164),$D164,0)-IF(ISNUMBER($C164),$C164,0))</f>
      </c>
    </row>
    <row r="165">
      <c r="E165" s="7">
        <f>IF(OR($A165="",$D165=""),"",IF(ISNUMBER($D165),$D165,0)-IF(ISNUMBER($C165),$C165,0))</f>
      </c>
    </row>
    <row r="166">
      <c r="E166" s="7">
        <f>IF(OR($A166="",$D166=""),"",IF(ISNUMBER($D166),$D166,0)-IF(ISNUMBER($C166),$C166,0))</f>
      </c>
    </row>
    <row r="167">
      <c r="E167" s="7">
        <f>IF(OR($A167="",$D167=""),"",IF(ISNUMBER($D167),$D167,0)-IF(ISNUMBER($C167),$C167,0))</f>
      </c>
    </row>
    <row r="168">
      <c r="E168" s="7">
        <f>IF(OR($A168="",$D168=""),"",IF(ISNUMBER($D168),$D168,0)-IF(ISNUMBER($C168),$C168,0))</f>
      </c>
    </row>
    <row r="169">
      <c r="E169" s="7">
        <f>IF(OR($A169="",$D169=""),"",IF(ISNUMBER($D169),$D169,0)-IF(ISNUMBER($C169),$C169,0))</f>
      </c>
    </row>
    <row r="170">
      <c r="E170" s="7">
        <f>IF(OR($A170="",$D170=""),"",IF(ISNUMBER($D170),$D170,0)-IF(ISNUMBER($C170),$C170,0))</f>
      </c>
    </row>
    <row r="171">
      <c r="E171" s="7">
        <f>IF(OR($A171="",$D171=""),"",IF(ISNUMBER($D171),$D171,0)-IF(ISNUMBER($C171),$C171,0))</f>
      </c>
    </row>
    <row r="172">
      <c r="E172" s="7">
        <f>IF(OR($A172="",$D172=""),"",IF(ISNUMBER($D172),$D172,0)-IF(ISNUMBER($C172),$C172,0))</f>
      </c>
    </row>
    <row r="173">
      <c r="E173" s="7">
        <f>IF(OR($A173="",$D173=""),"",IF(ISNUMBER($D173),$D173,0)-IF(ISNUMBER($C173),$C173,0))</f>
      </c>
    </row>
    <row r="174">
      <c r="E174" s="7">
        <f>IF(OR($A174="",$D174=""),"",IF(ISNUMBER($D174),$D174,0)-IF(ISNUMBER($C174),$C174,0))</f>
      </c>
    </row>
    <row r="175">
      <c r="E175" s="7">
        <f>IF(OR($A175="",$D175=""),"",IF(ISNUMBER($D175),$D175,0)-IF(ISNUMBER($C175),$C175,0))</f>
      </c>
    </row>
    <row r="176">
      <c r="E176" s="7">
        <f>IF(OR($A176="",$D176=""),"",IF(ISNUMBER($D176),$D176,0)-IF(ISNUMBER($C176),$C176,0))</f>
      </c>
    </row>
    <row r="177">
      <c r="E177" s="7">
        <f>IF(OR($A177="",$D177=""),"",IF(ISNUMBER($D177),$D177,0)-IF(ISNUMBER($C177),$C177,0))</f>
      </c>
    </row>
    <row r="178">
      <c r="E178" s="7">
        <f>IF(OR($A178="",$D178=""),"",IF(ISNUMBER($D178),$D178,0)-IF(ISNUMBER($C178),$C178,0))</f>
      </c>
    </row>
    <row r="179">
      <c r="E179" s="7">
        <f>IF(OR($A179="",$D179=""),"",IF(ISNUMBER($D179),$D179,0)-IF(ISNUMBER($C179),$C179,0))</f>
      </c>
    </row>
    <row r="180">
      <c r="E180" s="7">
        <f>IF(OR($A180="",$D180=""),"",IF(ISNUMBER($D180),$D180,0)-IF(ISNUMBER($C180),$C180,0))</f>
      </c>
    </row>
    <row r="181">
      <c r="E181" s="7">
        <f>IF(OR($A181="",$D181=""),"",IF(ISNUMBER($D181),$D181,0)-IF(ISNUMBER($C181),$C181,0))</f>
      </c>
    </row>
    <row r="182">
      <c r="E182" s="7">
        <f>IF(OR($A182="",$D182=""),"",IF(ISNUMBER($D182),$D182,0)-IF(ISNUMBER($C182),$C182,0))</f>
      </c>
    </row>
    <row r="183">
      <c r="E183" s="7">
        <f>IF(OR($A183="",$D183=""),"",IF(ISNUMBER($D183),$D183,0)-IF(ISNUMBER($C183),$C183,0))</f>
      </c>
    </row>
    <row r="184">
      <c r="E184" s="7">
        <f>IF(OR($A184="",$D184=""),"",IF(ISNUMBER($D184),$D184,0)-IF(ISNUMBER($C184),$C184,0))</f>
      </c>
    </row>
    <row r="185">
      <c r="E185" s="7">
        <f>IF(OR($A185="",$D185=""),"",IF(ISNUMBER($D185),$D185,0)-IF(ISNUMBER($C185),$C185,0))</f>
      </c>
    </row>
    <row r="186">
      <c r="E186" s="7">
        <f>IF(OR($A186="",$D186=""),"",IF(ISNUMBER($D186),$D186,0)-IF(ISNUMBER($C186),$C186,0))</f>
      </c>
    </row>
    <row r="187">
      <c r="E187" s="7">
        <f>IF(OR($A187="",$D187=""),"",IF(ISNUMBER($D187),$D187,0)-IF(ISNUMBER($C187),$C187,0))</f>
      </c>
    </row>
    <row r="188">
      <c r="E188" s="7">
        <f>IF(OR($A188="",$D188=""),"",IF(ISNUMBER($D188),$D188,0)-IF(ISNUMBER($C188),$C188,0))</f>
      </c>
    </row>
    <row r="189">
      <c r="E189" s="7">
        <f>IF(OR($A189="",$D189=""),"",IF(ISNUMBER($D189),$D189,0)-IF(ISNUMBER($C189),$C189,0))</f>
      </c>
    </row>
    <row r="190">
      <c r="E190" s="7">
        <f>IF(OR($A190="",$D190=""),"",IF(ISNUMBER($D190),$D190,0)-IF(ISNUMBER($C190),$C190,0))</f>
      </c>
    </row>
    <row r="191">
      <c r="E191" s="7">
        <f>IF(OR($A191="",$D191=""),"",IF(ISNUMBER($D191),$D191,0)-IF(ISNUMBER($C191),$C191,0))</f>
      </c>
    </row>
    <row r="192">
      <c r="E192" s="7">
        <f>IF(OR($A192="",$D192=""),"",IF(ISNUMBER($D192),$D192,0)-IF(ISNUMBER($C192),$C192,0))</f>
      </c>
    </row>
    <row r="193">
      <c r="E193" s="7">
        <f>IF(OR($A193="",$D193=""),"",IF(ISNUMBER($D193),$D193,0)-IF(ISNUMBER($C193),$C193,0))</f>
      </c>
    </row>
    <row r="194">
      <c r="E194" s="7">
        <f>IF(OR($A194="",$D194=""),"",IF(ISNUMBER($D194),$D194,0)-IF(ISNUMBER($C194),$C194,0))</f>
      </c>
    </row>
    <row r="195">
      <c r="E195" s="7">
        <f>IF(OR($A195="",$D195=""),"",IF(ISNUMBER($D195),$D195,0)-IF(ISNUMBER($C195),$C195,0))</f>
      </c>
    </row>
    <row r="196">
      <c r="E196" s="7">
        <f>IF(OR($A196="",$D196=""),"",IF(ISNUMBER($D196),$D196,0)-IF(ISNUMBER($C196),$C196,0))</f>
      </c>
    </row>
    <row r="197">
      <c r="E197" s="7">
        <f>IF(OR($A197="",$D197=""),"",IF(ISNUMBER($D197),$D197,0)-IF(ISNUMBER($C197),$C197,0))</f>
      </c>
    </row>
    <row r="198">
      <c r="E198" s="7">
        <f>IF(OR($A198="",$D198=""),"",IF(ISNUMBER($D198),$D198,0)-IF(ISNUMBER($C198),$C198,0))</f>
      </c>
    </row>
    <row r="199">
      <c r="E199" s="7">
        <f>IF(OR($A199="",$D199=""),"",IF(ISNUMBER($D199),$D199,0)-IF(ISNUMBER($C199),$C199,0))</f>
      </c>
    </row>
    <row r="200">
      <c r="E200" s="7">
        <f>IF(OR($A200="",$D200=""),"",IF(ISNUMBER($D200),$D200,0)-IF(ISNUMBER($C200),$C200,0))</f>
      </c>
    </row>
    <row r="201">
      <c r="E201" s="7">
        <f>IF(OR($A201="",$D201=""),"",IF(ISNUMBER($D201),$D201,0)-IF(ISNUMBER($C201),$C201,0))</f>
      </c>
    </row>
    <row r="202">
      <c r="E202" s="7">
        <f>IF(OR($A202="",$D202=""),"",IF(ISNUMBER($D202),$D202,0)-IF(ISNUMBER($C202),$C202,0))</f>
      </c>
    </row>
    <row r="203">
      <c r="E203" s="7">
        <f>IF(OR($A203="",$D203=""),"",IF(ISNUMBER($D203),$D203,0)-IF(ISNUMBER($C203),$C203,0))</f>
      </c>
    </row>
    <row r="204">
      <c r="E204" s="7">
        <f>IF(OR($A204="",$D204=""),"",IF(ISNUMBER($D204),$D204,0)-IF(ISNUMBER($C204),$C204,0))</f>
      </c>
    </row>
    <row r="205">
      <c r="E205" s="7">
        <f>IF(OR($A205="",$D205=""),"",IF(ISNUMBER($D205),$D205,0)-IF(ISNUMBER($C205),$C205,0))</f>
      </c>
    </row>
    <row r="206">
      <c r="E206" s="7">
        <f>IF(OR($A206="",$D206=""),"",IF(ISNUMBER($D206),$D206,0)-IF(ISNUMBER($C206),$C206,0))</f>
      </c>
    </row>
    <row r="207">
      <c r="E207" s="7">
        <f>IF(OR($A207="",$D207=""),"",IF(ISNUMBER($D207),$D207,0)-IF(ISNUMBER($C207),$C207,0))</f>
      </c>
    </row>
    <row r="208">
      <c r="E208" s="7">
        <f>IF(OR($A208="",$D208=""),"",IF(ISNUMBER($D208),$D208,0)-IF(ISNUMBER($C208),$C208,0))</f>
      </c>
    </row>
    <row r="209">
      <c r="E209" s="7">
        <f>IF(OR($A209="",$D209=""),"",IF(ISNUMBER($D209),$D209,0)-IF(ISNUMBER($C209),$C209,0))</f>
      </c>
    </row>
    <row r="210">
      <c r="E210" s="7">
        <f>IF(OR($A210="",$D210=""),"",IF(ISNUMBER($D210),$D210,0)-IF(ISNUMBER($C210),$C210,0))</f>
      </c>
    </row>
    <row r="211">
      <c r="E211" s="7">
        <f>IF(OR($A211="",$D211=""),"",IF(ISNUMBER($D211),$D211,0)-IF(ISNUMBER($C211),$C211,0))</f>
      </c>
    </row>
    <row r="212">
      <c r="E212" s="7">
        <f>IF(OR($A212="",$D212=""),"",IF(ISNUMBER($D212),$D212,0)-IF(ISNUMBER($C212),$C212,0))</f>
      </c>
    </row>
    <row r="213">
      <c r="E213" s="7">
        <f>IF(OR($A213="",$D213=""),"",IF(ISNUMBER($D213),$D213,0)-IF(ISNUMBER($C213),$C213,0))</f>
      </c>
    </row>
    <row r="214">
      <c r="E214" s="7">
        <f>IF(OR($A214="",$D214=""),"",IF(ISNUMBER($D214),$D214,0)-IF(ISNUMBER($C214),$C214,0))</f>
      </c>
    </row>
    <row r="215">
      <c r="E215" s="7">
        <f>IF(OR($A215="",$D215=""),"",IF(ISNUMBER($D215),$D215,0)-IF(ISNUMBER($C215),$C215,0))</f>
      </c>
    </row>
    <row r="216">
      <c r="E216" s="7">
        <f>IF(OR($A216="",$D216=""),"",IF(ISNUMBER($D216),$D216,0)-IF(ISNUMBER($C216),$C216,0))</f>
      </c>
    </row>
    <row r="217">
      <c r="E217" s="7">
        <f>IF(OR($A217="",$D217=""),"",IF(ISNUMBER($D217),$D217,0)-IF(ISNUMBER($C217),$C217,0))</f>
      </c>
    </row>
    <row r="218">
      <c r="E218" s="7">
        <f>IF(OR($A218="",$D218=""),"",IF(ISNUMBER($D218),$D218,0)-IF(ISNUMBER($C218),$C218,0))</f>
      </c>
    </row>
    <row r="219">
      <c r="E219" s="7">
        <f>IF(OR($A219="",$D219=""),"",IF(ISNUMBER($D219),$D219,0)-IF(ISNUMBER($C219),$C219,0))</f>
      </c>
    </row>
    <row r="220">
      <c r="E220" s="7">
        <f>IF(OR($A220="",$D220=""),"",IF(ISNUMBER($D220),$D220,0)-IF(ISNUMBER($C220),$C220,0))</f>
      </c>
    </row>
    <row r="221">
      <c r="E221" s="7">
        <f>IF(OR($A221="",$D221=""),"",IF(ISNUMBER($D221),$D221,0)-IF(ISNUMBER($C221),$C221,0))</f>
      </c>
    </row>
    <row r="222">
      <c r="E222" s="7">
        <f>IF(OR($A222="",$D222=""),"",IF(ISNUMBER($D222),$D222,0)-IF(ISNUMBER($C222),$C222,0))</f>
      </c>
    </row>
    <row r="223">
      <c r="E223" s="7">
        <f>IF(OR($A223="",$D223=""),"",IF(ISNUMBER($D223),$D223,0)-IF(ISNUMBER($C223),$C223,0))</f>
      </c>
    </row>
    <row r="224">
      <c r="E224" s="7">
        <f>IF(OR($A224="",$D224=""),"",IF(ISNUMBER($D224),$D224,0)-IF(ISNUMBER($C224),$C224,0))</f>
      </c>
    </row>
    <row r="225">
      <c r="E225" s="7">
        <f>IF(OR($A225="",$D225=""),"",IF(ISNUMBER($D225),$D225,0)-IF(ISNUMBER($C225),$C225,0))</f>
      </c>
    </row>
    <row r="226">
      <c r="E226" s="7">
        <f>IF(OR($A226="",$D226=""),"",IF(ISNUMBER($D226),$D226,0)-IF(ISNUMBER($C226),$C226,0))</f>
      </c>
    </row>
    <row r="227">
      <c r="E227" s="7">
        <f>IF(OR($A227="",$D227=""),"",IF(ISNUMBER($D227),$D227,0)-IF(ISNUMBER($C227),$C227,0))</f>
      </c>
    </row>
    <row r="228">
      <c r="E228" s="7">
        <f>IF(OR($A228="",$D228=""),"",IF(ISNUMBER($D228),$D228,0)-IF(ISNUMBER($C228),$C228,0))</f>
      </c>
    </row>
    <row r="229">
      <c r="E229" s="7">
        <f>IF(OR($A229="",$D229=""),"",IF(ISNUMBER($D229),$D229,0)-IF(ISNUMBER($C229),$C229,0))</f>
      </c>
    </row>
    <row r="230">
      <c r="E230" s="7">
        <f>IF(OR($A230="",$D230=""),"",IF(ISNUMBER($D230),$D230,0)-IF(ISNUMBER($C230),$C230,0))</f>
      </c>
    </row>
    <row r="231">
      <c r="E231" s="7">
        <f>IF(OR($A231="",$D231=""),"",IF(ISNUMBER($D231),$D231,0)-IF(ISNUMBER($C231),$C231,0))</f>
      </c>
    </row>
    <row r="232">
      <c r="E232" s="7">
        <f>IF(OR($A232="",$D232=""),"",IF(ISNUMBER($D232),$D232,0)-IF(ISNUMBER($C232),$C232,0))</f>
      </c>
    </row>
    <row r="233">
      <c r="E233" s="7">
        <f>IF(OR($A233="",$D233=""),"",IF(ISNUMBER($D233),$D233,0)-IF(ISNUMBER($C233),$C233,0))</f>
      </c>
    </row>
    <row r="234">
      <c r="E234" s="7">
        <f>IF(OR($A234="",$D234=""),"",IF(ISNUMBER($D234),$D234,0)-IF(ISNUMBER($C234),$C234,0))</f>
      </c>
    </row>
    <row r="235">
      <c r="E235" s="7">
        <f>IF(OR($A235="",$D235=""),"",IF(ISNUMBER($D235),$D235,0)-IF(ISNUMBER($C235),$C235,0))</f>
      </c>
    </row>
    <row r="236">
      <c r="E236" s="7">
        <f>IF(OR($A236="",$D236=""),"",IF(ISNUMBER($D236),$D236,0)-IF(ISNUMBER($C236),$C236,0))</f>
      </c>
    </row>
    <row r="237">
      <c r="E237" s="7">
        <f>IF(OR($A237="",$D237=""),"",IF(ISNUMBER($D237),$D237,0)-IF(ISNUMBER($C237),$C237,0))</f>
      </c>
    </row>
    <row r="238">
      <c r="E238" s="7">
        <f>IF(OR($A238="",$D238=""),"",IF(ISNUMBER($D238),$D238,0)-IF(ISNUMBER($C238),$C238,0))</f>
      </c>
    </row>
    <row r="239">
      <c r="E239" s="7">
        <f>IF(OR($A239="",$D239=""),"",IF(ISNUMBER($D239),$D239,0)-IF(ISNUMBER($C239),$C239,0))</f>
      </c>
    </row>
    <row r="240">
      <c r="E240" s="7">
        <f>IF(OR($A240="",$D240=""),"",IF(ISNUMBER($D240),$D240,0)-IF(ISNUMBER($C240),$C240,0))</f>
      </c>
    </row>
    <row r="241">
      <c r="E241" s="7">
        <f>IF(OR($A241="",$D241=""),"",IF(ISNUMBER($D241),$D241,0)-IF(ISNUMBER($C241),$C241,0))</f>
      </c>
    </row>
    <row r="242">
      <c r="E242" s="7">
        <f>IF(OR($A242="",$D242=""),"",IF(ISNUMBER($D242),$D242,0)-IF(ISNUMBER($C242),$C242,0))</f>
      </c>
    </row>
    <row r="243">
      <c r="E243" s="7">
        <f>IF(OR($A243="",$D243=""),"",IF(ISNUMBER($D243),$D243,0)-IF(ISNUMBER($C243),$C243,0))</f>
      </c>
    </row>
    <row r="244">
      <c r="E244" s="7">
        <f>IF(OR($A244="",$D244=""),"",IF(ISNUMBER($D244),$D244,0)-IF(ISNUMBER($C244),$C244,0))</f>
      </c>
    </row>
    <row r="245">
      <c r="E245" s="7">
        <f>IF(OR($A245="",$D245=""),"",IF(ISNUMBER($D245),$D245,0)-IF(ISNUMBER($C245),$C245,0))</f>
      </c>
    </row>
    <row r="246">
      <c r="E246" s="7">
        <f>IF(OR($A246="",$D246=""),"",IF(ISNUMBER($D246),$D246,0)-IF(ISNUMBER($C246),$C246,0))</f>
      </c>
    </row>
    <row r="247">
      <c r="E247" s="7">
        <f>IF(OR($A247="",$D247=""),"",IF(ISNUMBER($D247),$D247,0)-IF(ISNUMBER($C247),$C247,0))</f>
      </c>
    </row>
    <row r="248">
      <c r="E248" s="7">
        <f>IF(OR($A248="",$D248=""),"",IF(ISNUMBER($D248),$D248,0)-IF(ISNUMBER($C248),$C248,0))</f>
      </c>
    </row>
    <row r="249">
      <c r="E249" s="7">
        <f>IF(OR($A249="",$D249=""),"",IF(ISNUMBER($D249),$D249,0)-IF(ISNUMBER($C249),$C249,0))</f>
      </c>
    </row>
    <row r="250">
      <c r="E250" s="7">
        <f>IF(OR($A250="",$D250=""),"",IF(ISNUMBER($D250),$D250,0)-IF(ISNUMBER($C250),$C250,0))</f>
      </c>
    </row>
    <row r="251">
      <c r="E251" s="7">
        <f>IF(OR($A251="",$D251=""),"",IF(ISNUMBER($D251),$D251,0)-IF(ISNUMBER($C251),$C251,0))</f>
      </c>
    </row>
    <row r="252">
      <c r="E252" s="7">
        <f>IF(OR($A252="",$D252=""),"",IF(ISNUMBER($D252),$D252,0)-IF(ISNUMBER($C252),$C252,0))</f>
      </c>
    </row>
    <row r="253">
      <c r="E253" s="7">
        <f>IF(OR($A253="",$D253=""),"",IF(ISNUMBER($D253),$D253,0)-IF(ISNUMBER($C253),$C253,0))</f>
      </c>
    </row>
    <row r="254">
      <c r="E254" s="7">
        <f>IF(OR($A254="",$D254=""),"",IF(ISNUMBER($D254),$D254,0)-IF(ISNUMBER($C254),$C254,0))</f>
      </c>
    </row>
    <row r="255">
      <c r="E255" s="7">
        <f>IF(OR($A255="",$D255=""),"",IF(ISNUMBER($D255),$D255,0)-IF(ISNUMBER($C255),$C255,0))</f>
      </c>
    </row>
    <row r="256">
      <c r="E256" s="7">
        <f>IF(OR($A256="",$D256=""),"",IF(ISNUMBER($D256),$D256,0)-IF(ISNUMBER($C256),$C256,0))</f>
      </c>
    </row>
    <row r="257">
      <c r="E257" s="7">
        <f>IF(OR($A257="",$D257=""),"",IF(ISNUMBER($D257),$D257,0)-IF(ISNUMBER($C257),$C257,0))</f>
      </c>
    </row>
    <row r="258">
      <c r="E258" s="7">
        <f>IF(OR($A258="",$D258=""),"",IF(ISNUMBER($D258),$D258,0)-IF(ISNUMBER($C258),$C258,0))</f>
      </c>
    </row>
    <row r="259">
      <c r="E259" s="7">
        <f>IF(OR($A259="",$D259=""),"",IF(ISNUMBER($D259),$D259,0)-IF(ISNUMBER($C259),$C259,0))</f>
      </c>
    </row>
    <row r="260">
      <c r="E260" s="7">
        <f>IF(OR($A260="",$D260=""),"",IF(ISNUMBER($D260),$D260,0)-IF(ISNUMBER($C260),$C260,0))</f>
      </c>
    </row>
    <row r="261">
      <c r="E261" s="7">
        <f>IF(OR($A261="",$D261=""),"",IF(ISNUMBER($D261),$D261,0)-IF(ISNUMBER($C261),$C261,0))</f>
      </c>
    </row>
    <row r="262">
      <c r="E262" s="7">
        <f>IF(OR($A262="",$D262=""),"",IF(ISNUMBER($D262),$D262,0)-IF(ISNUMBER($C262),$C262,0))</f>
      </c>
    </row>
    <row r="263">
      <c r="E263" s="7">
        <f>IF(OR($A263="",$D263=""),"",IF(ISNUMBER($D263),$D263,0)-IF(ISNUMBER($C263),$C263,0))</f>
      </c>
    </row>
    <row r="264">
      <c r="E264" s="7">
        <f>IF(OR($A264="",$D264=""),"",IF(ISNUMBER($D264),$D264,0)-IF(ISNUMBER($C264),$C264,0))</f>
      </c>
    </row>
    <row r="265">
      <c r="E265" s="7">
        <f>IF(OR($A265="",$D265=""),"",IF(ISNUMBER($D265),$D265,0)-IF(ISNUMBER($C265),$C265,0))</f>
      </c>
    </row>
    <row r="266">
      <c r="E266" s="7">
        <f>IF(OR($A266="",$D266=""),"",IF(ISNUMBER($D266),$D266,0)-IF(ISNUMBER($C266),$C266,0))</f>
      </c>
    </row>
    <row r="267">
      <c r="E267" s="7">
        <f>IF(OR($A267="",$D267=""),"",IF(ISNUMBER($D267),$D267,0)-IF(ISNUMBER($C267),$C267,0))</f>
      </c>
    </row>
    <row r="268">
      <c r="E268" s="7">
        <f>IF(OR($A268="",$D268=""),"",IF(ISNUMBER($D268),$D268,0)-IF(ISNUMBER($C268),$C268,0))</f>
      </c>
    </row>
    <row r="269">
      <c r="E269" s="7">
        <f>IF(OR($A269="",$D269=""),"",IF(ISNUMBER($D269),$D269,0)-IF(ISNUMBER($C269),$C269,0))</f>
      </c>
    </row>
    <row r="270">
      <c r="E270" s="7">
        <f>IF(OR($A270="",$D270=""),"",IF(ISNUMBER($D270),$D270,0)-IF(ISNUMBER($C270),$C270,0))</f>
      </c>
    </row>
    <row r="271">
      <c r="E271" s="7">
        <f>IF(OR($A271="",$D271=""),"",IF(ISNUMBER($D271),$D271,0)-IF(ISNUMBER($C271),$C271,0))</f>
      </c>
    </row>
    <row r="272">
      <c r="E272" s="7">
        <f>IF(OR($A272="",$D272=""),"",IF(ISNUMBER($D272),$D272,0)-IF(ISNUMBER($C272),$C272,0))</f>
      </c>
    </row>
    <row r="273">
      <c r="E273" s="7">
        <f>IF(OR($A273="",$D273=""),"",IF(ISNUMBER($D273),$D273,0)-IF(ISNUMBER($C273),$C273,0))</f>
      </c>
    </row>
    <row r="274">
      <c r="E274" s="7">
        <f>IF(OR($A274="",$D274=""),"",IF(ISNUMBER($D274),$D274,0)-IF(ISNUMBER($C274),$C274,0))</f>
      </c>
    </row>
    <row r="275">
      <c r="E275" s="7">
        <f>IF(OR($A275="",$D275=""),"",IF(ISNUMBER($D275),$D275,0)-IF(ISNUMBER($C275),$C275,0))</f>
      </c>
    </row>
    <row r="276">
      <c r="E276" s="7">
        <f>IF(OR($A276="",$D276=""),"",IF(ISNUMBER($D276),$D276,0)-IF(ISNUMBER($C276),$C276,0))</f>
      </c>
    </row>
    <row r="277">
      <c r="E277" s="7">
        <f>IF(OR($A277="",$D277=""),"",IF(ISNUMBER($D277),$D277,0)-IF(ISNUMBER($C277),$C277,0))</f>
      </c>
    </row>
    <row r="278">
      <c r="E278" s="7">
        <f>IF(OR($A278="",$D278=""),"",IF(ISNUMBER($D278),$D278,0)-IF(ISNUMBER($C278),$C278,0))</f>
      </c>
    </row>
    <row r="279">
      <c r="E279" s="7">
        <f>IF(OR($A279="",$D279=""),"",IF(ISNUMBER($D279),$D279,0)-IF(ISNUMBER($C279),$C279,0))</f>
      </c>
    </row>
    <row r="280">
      <c r="E280" s="7">
        <f>IF(OR($A280="",$D280=""),"",IF(ISNUMBER($D280),$D280,0)-IF(ISNUMBER($C280),$C280,0))</f>
      </c>
    </row>
    <row r="281">
      <c r="E281" s="7">
        <f>IF(OR($A281="",$D281=""),"",IF(ISNUMBER($D281),$D281,0)-IF(ISNUMBER($C281),$C281,0))</f>
      </c>
    </row>
    <row r="282">
      <c r="E282" s="7">
        <f>IF(OR($A282="",$D282=""),"",IF(ISNUMBER($D282),$D282,0)-IF(ISNUMBER($C282),$C282,0))</f>
      </c>
    </row>
    <row r="283">
      <c r="E283" s="7">
        <f>IF(OR($A283="",$D283=""),"",IF(ISNUMBER($D283),$D283,0)-IF(ISNUMBER($C283),$C283,0))</f>
      </c>
    </row>
    <row r="284">
      <c r="E284" s="7">
        <f>IF(OR($A284="",$D284=""),"",IF(ISNUMBER($D284),$D284,0)-IF(ISNUMBER($C284),$C284,0))</f>
      </c>
    </row>
    <row r="285">
      <c r="E285" s="7">
        <f>IF(OR($A285="",$D285=""),"",IF(ISNUMBER($D285),$D285,0)-IF(ISNUMBER($C285),$C285,0))</f>
      </c>
    </row>
    <row r="286">
      <c r="E286" s="7">
        <f>IF(OR($A286="",$D286=""),"",IF(ISNUMBER($D286),$D286,0)-IF(ISNUMBER($C286),$C286,0))</f>
      </c>
    </row>
    <row r="287">
      <c r="E287" s="7">
        <f>IF(OR($A287="",$D287=""),"",IF(ISNUMBER($D287),$D287,0)-IF(ISNUMBER($C287),$C287,0))</f>
      </c>
    </row>
    <row r="288">
      <c r="E288" s="7">
        <f>IF(OR($A288="",$D288=""),"",IF(ISNUMBER($D288),$D288,0)-IF(ISNUMBER($C288),$C288,0))</f>
      </c>
    </row>
    <row r="289">
      <c r="E289" s="7">
        <f>IF(OR($A289="",$D289=""),"",IF(ISNUMBER($D289),$D289,0)-IF(ISNUMBER($C289),$C289,0))</f>
      </c>
    </row>
    <row r="290">
      <c r="E290" s="7">
        <f>IF(OR($A290="",$D290=""),"",IF(ISNUMBER($D290),$D290,0)-IF(ISNUMBER($C290),$C290,0))</f>
      </c>
    </row>
    <row r="291">
      <c r="E291" s="7">
        <f>IF(OR($A291="",$D291=""),"",IF(ISNUMBER($D291),$D291,0)-IF(ISNUMBER($C291),$C291,0))</f>
      </c>
    </row>
    <row r="292">
      <c r="E292" s="7">
        <f>IF(OR($A292="",$D292=""),"",IF(ISNUMBER($D292),$D292,0)-IF(ISNUMBER($C292),$C292,0))</f>
      </c>
    </row>
    <row r="293">
      <c r="E293" s="7">
        <f>IF(OR($A293="",$D293=""),"",IF(ISNUMBER($D293),$D293,0)-IF(ISNUMBER($C293),$C293,0))</f>
      </c>
    </row>
    <row r="294">
      <c r="E294" s="7">
        <f>IF(OR($A294="",$D294=""),"",IF(ISNUMBER($D294),$D294,0)-IF(ISNUMBER($C294),$C294,0))</f>
      </c>
    </row>
    <row r="295">
      <c r="E295" s="7">
        <f>IF(OR($A295="",$D295=""),"",IF(ISNUMBER($D295),$D295,0)-IF(ISNUMBER($C295),$C295,0))</f>
      </c>
    </row>
    <row r="296">
      <c r="E296" s="7">
        <f>IF(OR($A296="",$D296=""),"",IF(ISNUMBER($D296),$D296,0)-IF(ISNUMBER($C296),$C296,0))</f>
      </c>
    </row>
    <row r="297">
      <c r="E297" s="7">
        <f>IF(OR($A297="",$D297=""),"",IF(ISNUMBER($D297),$D297,0)-IF(ISNUMBER($C297),$C297,0))</f>
      </c>
    </row>
    <row r="298">
      <c r="E298" s="7">
        <f>IF(OR($A298="",$D298=""),"",IF(ISNUMBER($D298),$D298,0)-IF(ISNUMBER($C298),$C298,0))</f>
      </c>
    </row>
    <row r="299">
      <c r="E299" s="7">
        <f>IF(OR($A299="",$D299=""),"",IF(ISNUMBER($D299),$D299,0)-IF(ISNUMBER($C299),$C299,0))</f>
      </c>
    </row>
    <row r="300">
      <c r="E300" s="7">
        <f>IF(OR($A300="",$D300=""),"",IF(ISNUMBER($D300),$D300,0)-IF(ISNUMBER($C300),$C300,0))</f>
      </c>
    </row>
    <row r="301">
      <c r="E301" s="7">
        <f>IF(OR($A301="",$D301=""),"",IF(ISNUMBER($D301),$D301,0)-IF(ISNUMBER($C301),$C301,0))</f>
      </c>
    </row>
    <row r="302">
      <c r="E302" s="7">
        <f>IF(OR($A302="",$D302=""),"",IF(ISNUMBER($D302),$D302,0)-IF(ISNUMBER($C302),$C302,0))</f>
      </c>
    </row>
    <row r="303">
      <c r="E303" s="7">
        <f>IF(OR($A303="",$D303=""),"",IF(ISNUMBER($D303),$D303,0)-IF(ISNUMBER($C303),$C303,0))</f>
      </c>
    </row>
    <row r="304">
      <c r="E304" s="7">
        <f>IF(OR($A304="",$D304=""),"",IF(ISNUMBER($D304),$D304,0)-IF(ISNUMBER($C304),$C304,0))</f>
      </c>
    </row>
    <row r="305">
      <c r="E305" s="7">
        <f>IF(OR($A305="",$D305=""),"",IF(ISNUMBER($D305),$D305,0)-IF(ISNUMBER($C305),$C305,0))</f>
      </c>
    </row>
    <row r="306">
      <c r="E306" s="7">
        <f>IF(OR($A306="",$D306=""),"",IF(ISNUMBER($D306),$D306,0)-IF(ISNUMBER($C306),$C306,0))</f>
      </c>
    </row>
    <row r="307">
      <c r="E307" s="7">
        <f>IF(OR($A307="",$D307=""),"",IF(ISNUMBER($D307),$D307,0)-IF(ISNUMBER($C307),$C307,0))</f>
      </c>
    </row>
    <row r="308">
      <c r="E308" s="7">
        <f>IF(OR($A308="",$D308=""),"",IF(ISNUMBER($D308),$D308,0)-IF(ISNUMBER($C308),$C308,0))</f>
      </c>
    </row>
    <row r="309">
      <c r="E309" s="7">
        <f>IF(OR($A309="",$D309=""),"",IF(ISNUMBER($D309),$D309,0)-IF(ISNUMBER($C309),$C309,0))</f>
      </c>
    </row>
    <row r="310">
      <c r="E310" s="7">
        <f>IF(OR($A310="",$D310=""),"",IF(ISNUMBER($D310),$D310,0)-IF(ISNUMBER($C310),$C310,0))</f>
      </c>
    </row>
    <row r="311">
      <c r="E311" s="7">
        <f>IF(OR($A311="",$D311=""),"",IF(ISNUMBER($D311),$D311,0)-IF(ISNUMBER($C311),$C311,0))</f>
      </c>
    </row>
    <row r="312">
      <c r="E312" s="7">
        <f>IF(OR($A312="",$D312=""),"",IF(ISNUMBER($D312),$D312,0)-IF(ISNUMBER($C312),$C312,0))</f>
      </c>
    </row>
    <row r="313">
      <c r="E313" s="7">
        <f>IF(OR($A313="",$D313=""),"",IF(ISNUMBER($D313),$D313,0)-IF(ISNUMBER($C313),$C313,0))</f>
      </c>
    </row>
    <row r="314">
      <c r="E314" s="7">
        <f>IF(OR($A314="",$D314=""),"",IF(ISNUMBER($D314),$D314,0)-IF(ISNUMBER($C314),$C314,0))</f>
      </c>
    </row>
    <row r="315">
      <c r="E315" s="7">
        <f>IF(OR($A315="",$D315=""),"",IF(ISNUMBER($D315),$D315,0)-IF(ISNUMBER($C315),$C315,0))</f>
      </c>
    </row>
    <row r="316">
      <c r="E316" s="7">
        <f>IF(OR($A316="",$D316=""),"",IF(ISNUMBER($D316),$D316,0)-IF(ISNUMBER($C316),$C316,0))</f>
      </c>
    </row>
    <row r="317">
      <c r="E317" s="7">
        <f>IF(OR($A317="",$D317=""),"",IF(ISNUMBER($D317),$D317,0)-IF(ISNUMBER($C317),$C317,0))</f>
      </c>
    </row>
    <row r="318">
      <c r="E318" s="7">
        <f>IF(OR($A318="",$D318=""),"",IF(ISNUMBER($D318),$D318,0)-IF(ISNUMBER($C318),$C318,0))</f>
      </c>
    </row>
    <row r="319">
      <c r="E319" s="7">
        <f>IF(OR($A319="",$D319=""),"",IF(ISNUMBER($D319),$D319,0)-IF(ISNUMBER($C319),$C319,0))</f>
      </c>
    </row>
    <row r="320">
      <c r="E320" s="7">
        <f>IF(OR($A320="",$D320=""),"",IF(ISNUMBER($D320),$D320,0)-IF(ISNUMBER($C320),$C320,0))</f>
      </c>
    </row>
    <row r="321">
      <c r="E321" s="7">
        <f>IF(OR($A321="",$D321=""),"",IF(ISNUMBER($D321),$D321,0)-IF(ISNUMBER($C321),$C321,0))</f>
      </c>
    </row>
    <row r="322">
      <c r="E322" s="7">
        <f>IF(OR($A322="",$D322=""),"",IF(ISNUMBER($D322),$D322,0)-IF(ISNUMBER($C322),$C322,0))</f>
      </c>
    </row>
    <row r="323">
      <c r="E323" s="7">
        <f>IF(OR($A323="",$D323=""),"",IF(ISNUMBER($D323),$D323,0)-IF(ISNUMBER($C323),$C323,0))</f>
      </c>
    </row>
    <row r="324">
      <c r="E324" s="7">
        <f>IF(OR($A324="",$D324=""),"",IF(ISNUMBER($D324),$D324,0)-IF(ISNUMBER($C324),$C324,0))</f>
      </c>
    </row>
    <row r="325">
      <c r="E325" s="7">
        <f>IF(OR($A325="",$D325=""),"",IF(ISNUMBER($D325),$D325,0)-IF(ISNUMBER($C325),$C325,0))</f>
      </c>
    </row>
    <row r="326">
      <c r="E326" s="7">
        <f>IF(OR($A326="",$D326=""),"",IF(ISNUMBER($D326),$D326,0)-IF(ISNUMBER($C326),$C326,0))</f>
      </c>
    </row>
    <row r="327">
      <c r="E327" s="7">
        <f>IF(OR($A327="",$D327=""),"",IF(ISNUMBER($D327),$D327,0)-IF(ISNUMBER($C327),$C327,0))</f>
      </c>
    </row>
    <row r="328">
      <c r="E328" s="7">
        <f>IF(OR($A328="",$D328=""),"",IF(ISNUMBER($D328),$D328,0)-IF(ISNUMBER($C328),$C328,0))</f>
      </c>
    </row>
    <row r="329">
      <c r="E329" s="7">
        <f>IF(OR($A329="",$D329=""),"",IF(ISNUMBER($D329),$D329,0)-IF(ISNUMBER($C329),$C329,0))</f>
      </c>
    </row>
    <row r="330">
      <c r="E330" s="7">
        <f>IF(OR($A330="",$D330=""),"",IF(ISNUMBER($D330),$D330,0)-IF(ISNUMBER($C330),$C330,0))</f>
      </c>
    </row>
    <row r="331">
      <c r="E331" s="7">
        <f>IF(OR($A331="",$D331=""),"",IF(ISNUMBER($D331),$D331,0)-IF(ISNUMBER($C331),$C331,0))</f>
      </c>
    </row>
    <row r="332">
      <c r="E332" s="7">
        <f>IF(OR($A332="",$D332=""),"",IF(ISNUMBER($D332),$D332,0)-IF(ISNUMBER($C332),$C332,0))</f>
      </c>
    </row>
    <row r="333">
      <c r="E333" s="7">
        <f>IF(OR($A333="",$D333=""),"",IF(ISNUMBER($D333),$D333,0)-IF(ISNUMBER($C333),$C333,0))</f>
      </c>
    </row>
    <row r="334">
      <c r="E334" s="7">
        <f>IF(OR($A334="",$D334=""),"",IF(ISNUMBER($D334),$D334,0)-IF(ISNUMBER($C334),$C334,0))</f>
      </c>
    </row>
    <row r="335">
      <c r="E335" s="7">
        <f>IF(OR($A335="",$D335=""),"",IF(ISNUMBER($D335),$D335,0)-IF(ISNUMBER($C335),$C335,0))</f>
      </c>
    </row>
    <row r="336">
      <c r="E336" s="7">
        <f>IF(OR($A336="",$D336=""),"",IF(ISNUMBER($D336),$D336,0)-IF(ISNUMBER($C336),$C336,0))</f>
      </c>
    </row>
    <row r="337">
      <c r="E337" s="7">
        <f>IF(OR($A337="",$D337=""),"",IF(ISNUMBER($D337),$D337,0)-IF(ISNUMBER($C337),$C337,0))</f>
      </c>
    </row>
    <row r="338">
      <c r="E338" s="7">
        <f>IF(OR($A338="",$D338=""),"",IF(ISNUMBER($D338),$D338,0)-IF(ISNUMBER($C338),$C338,0))</f>
      </c>
    </row>
    <row r="339">
      <c r="E339" s="7">
        <f>IF(OR($A339="",$D339=""),"",IF(ISNUMBER($D339),$D339,0)-IF(ISNUMBER($C339),$C339,0))</f>
      </c>
    </row>
    <row r="340">
      <c r="E340" s="7">
        <f>IF(OR($A340="",$D340=""),"",IF(ISNUMBER($D340),$D340,0)-IF(ISNUMBER($C340),$C340,0))</f>
      </c>
    </row>
    <row r="341">
      <c r="E341" s="7">
        <f>IF(OR($A341="",$D341=""),"",IF(ISNUMBER($D341),$D341,0)-IF(ISNUMBER($C341),$C341,0))</f>
      </c>
    </row>
    <row r="342">
      <c r="E342" s="7">
        <f>IF(OR($A342="",$D342=""),"",IF(ISNUMBER($D342),$D342,0)-IF(ISNUMBER($C342),$C342,0))</f>
      </c>
    </row>
    <row r="343">
      <c r="E343" s="7">
        <f>IF(OR($A343="",$D343=""),"",IF(ISNUMBER($D343),$D343,0)-IF(ISNUMBER($C343),$C343,0))</f>
      </c>
    </row>
    <row r="344">
      <c r="E344" s="7">
        <f>IF(OR($A344="",$D344=""),"",IF(ISNUMBER($D344),$D344,0)-IF(ISNUMBER($C344),$C344,0))</f>
      </c>
    </row>
    <row r="345">
      <c r="E345" s="7">
        <f>IF(OR($A345="",$D345=""),"",IF(ISNUMBER($D345),$D345,0)-IF(ISNUMBER($C345),$C345,0))</f>
      </c>
    </row>
    <row r="346">
      <c r="E346" s="7">
        <f>IF(OR($A346="",$D346=""),"",IF(ISNUMBER($D346),$D346,0)-IF(ISNUMBER($C346),$C346,0))</f>
      </c>
    </row>
    <row r="347">
      <c r="E347" s="7">
        <f>IF(OR($A347="",$D347=""),"",IF(ISNUMBER($D347),$D347,0)-IF(ISNUMBER($C347),$C347,0))</f>
      </c>
    </row>
    <row r="348">
      <c r="E348" s="7">
        <f>IF(OR($A348="",$D348=""),"",IF(ISNUMBER($D348),$D348,0)-IF(ISNUMBER($C348),$C348,0))</f>
      </c>
    </row>
    <row r="349">
      <c r="E349" s="7">
        <f>IF(OR($A349="",$D349=""),"",IF(ISNUMBER($D349),$D349,0)-IF(ISNUMBER($C349),$C349,0))</f>
      </c>
    </row>
    <row r="350">
      <c r="E350" s="7">
        <f>IF(OR($A350="",$D350=""),"",IF(ISNUMBER($D350),$D350,0)-IF(ISNUMBER($C350),$C350,0))</f>
      </c>
    </row>
    <row r="351">
      <c r="E351" s="7">
        <f>IF(OR($A351="",$D351=""),"",IF(ISNUMBER($D351),$D351,0)-IF(ISNUMBER($C351),$C351,0))</f>
      </c>
    </row>
    <row r="352">
      <c r="E352" s="7">
        <f>IF(OR($A352="",$D352=""),"",IF(ISNUMBER($D352),$D352,0)-IF(ISNUMBER($C352),$C352,0))</f>
      </c>
    </row>
    <row r="353">
      <c r="E353" s="7">
        <f>IF(OR($A353="",$D353=""),"",IF(ISNUMBER($D353),$D353,0)-IF(ISNUMBER($C353),$C353,0))</f>
      </c>
    </row>
    <row r="354">
      <c r="E354" s="7">
        <f>IF(OR($A354="",$D354=""),"",IF(ISNUMBER($D354),$D354,0)-IF(ISNUMBER($C354),$C354,0))</f>
      </c>
    </row>
    <row r="355">
      <c r="E355" s="7">
        <f>IF(OR($A355="",$D355=""),"",IF(ISNUMBER($D355),$D355,0)-IF(ISNUMBER($C355),$C355,0))</f>
      </c>
    </row>
    <row r="356">
      <c r="E356" s="7">
        <f>IF(OR($A356="",$D356=""),"",IF(ISNUMBER($D356),$D356,0)-IF(ISNUMBER($C356),$C356,0))</f>
      </c>
    </row>
    <row r="357">
      <c r="E357" s="7">
        <f>IF(OR($A357="",$D357=""),"",IF(ISNUMBER($D357),$D357,0)-IF(ISNUMBER($C357),$C357,0))</f>
      </c>
    </row>
    <row r="358">
      <c r="E358" s="7">
        <f>IF(OR($A358="",$D358=""),"",IF(ISNUMBER($D358),$D358,0)-IF(ISNUMBER($C358),$C358,0))</f>
      </c>
    </row>
    <row r="359">
      <c r="E359" s="7">
        <f>IF(OR($A359="",$D359=""),"",IF(ISNUMBER($D359),$D359,0)-IF(ISNUMBER($C359),$C359,0))</f>
      </c>
    </row>
    <row r="360">
      <c r="E360" s="7">
        <f>IF(OR($A360="",$D360=""),"",IF(ISNUMBER($D360),$D360,0)-IF(ISNUMBER($C360),$C360,0))</f>
      </c>
    </row>
    <row r="361">
      <c r="E361" s="7">
        <f>IF(OR($A361="",$D361=""),"",IF(ISNUMBER($D361),$D361,0)-IF(ISNUMBER($C361),$C361,0))</f>
      </c>
    </row>
    <row r="362">
      <c r="E362" s="7">
        <f>IF(OR($A362="",$D362=""),"",IF(ISNUMBER($D362),$D362,0)-IF(ISNUMBER($C362),$C362,0))</f>
      </c>
    </row>
    <row r="363">
      <c r="E363" s="7">
        <f>IF(OR($A363="",$D363=""),"",IF(ISNUMBER($D363),$D363,0)-IF(ISNUMBER($C363),$C363,0))</f>
      </c>
    </row>
    <row r="364">
      <c r="E364" s="7">
        <f>IF(OR($A364="",$D364=""),"",IF(ISNUMBER($D364),$D364,0)-IF(ISNUMBER($C364),$C364,0))</f>
      </c>
    </row>
    <row r="365">
      <c r="E365" s="7">
        <f>IF(OR($A365="",$D365=""),"",IF(ISNUMBER($D365),$D365,0)-IF(ISNUMBER($C365),$C365,0))</f>
      </c>
    </row>
    <row r="366">
      <c r="E366" s="7">
        <f>IF(OR($A366="",$D366=""),"",IF(ISNUMBER($D366),$D366,0)-IF(ISNUMBER($C366),$C366,0))</f>
      </c>
    </row>
    <row r="367">
      <c r="E367" s="7">
        <f>IF(OR($A367="",$D367=""),"",IF(ISNUMBER($D367),$D367,0)-IF(ISNUMBER($C367),$C367,0))</f>
      </c>
    </row>
    <row r="368">
      <c r="E368" s="7">
        <f>IF(OR($A368="",$D368=""),"",IF(ISNUMBER($D368),$D368,0)-IF(ISNUMBER($C368),$C368,0))</f>
      </c>
    </row>
    <row r="369">
      <c r="E369" s="7">
        <f>IF(OR($A369="",$D369=""),"",IF(ISNUMBER($D369),$D369,0)-IF(ISNUMBER($C369),$C369,0))</f>
      </c>
    </row>
    <row r="370">
      <c r="E370" s="7">
        <f>IF(OR($A370="",$D370=""),"",IF(ISNUMBER($D370),$D370,0)-IF(ISNUMBER($C370),$C370,0))</f>
      </c>
    </row>
    <row r="371">
      <c r="E371" s="7">
        <f>IF(OR($A371="",$D371=""),"",IF(ISNUMBER($D371),$D371,0)-IF(ISNUMBER($C371),$C371,0))</f>
      </c>
    </row>
    <row r="372">
      <c r="E372" s="7">
        <f>IF(OR($A372="",$D372=""),"",IF(ISNUMBER($D372),$D372,0)-IF(ISNUMBER($C372),$C372,0))</f>
      </c>
    </row>
    <row r="373">
      <c r="E373" s="7">
        <f>IF(OR($A373="",$D373=""),"",IF(ISNUMBER($D373),$D373,0)-IF(ISNUMBER($C373),$C373,0))</f>
      </c>
    </row>
    <row r="374">
      <c r="E374" s="7">
        <f>IF(OR($A374="",$D374=""),"",IF(ISNUMBER($D374),$D374,0)-IF(ISNUMBER($C374),$C374,0))</f>
      </c>
    </row>
    <row r="375">
      <c r="E375" s="7">
        <f>IF(OR($A375="",$D375=""),"",IF(ISNUMBER($D375),$D375,0)-IF(ISNUMBER($C375),$C375,0))</f>
      </c>
    </row>
    <row r="376">
      <c r="E376" s="7">
        <f>IF(OR($A376="",$D376=""),"",IF(ISNUMBER($D376),$D376,0)-IF(ISNUMBER($C376),$C376,0))</f>
      </c>
    </row>
    <row r="377">
      <c r="E377" s="7">
        <f>IF(OR($A377="",$D377=""),"",IF(ISNUMBER($D377),$D377,0)-IF(ISNUMBER($C377),$C377,0))</f>
      </c>
    </row>
    <row r="378">
      <c r="E378" s="7">
        <f>IF(OR($A378="",$D378=""),"",IF(ISNUMBER($D378),$D378,0)-IF(ISNUMBER($C378),$C378,0))</f>
      </c>
    </row>
    <row r="379">
      <c r="E379" s="7">
        <f>IF(OR($A379="",$D379=""),"",IF(ISNUMBER($D379),$D379,0)-IF(ISNUMBER($C379),$C379,0))</f>
      </c>
    </row>
    <row r="380">
      <c r="E380" s="7">
        <f>IF(OR($A380="",$D380=""),"",IF(ISNUMBER($D380),$D380,0)-IF(ISNUMBER($C380),$C380,0))</f>
      </c>
    </row>
    <row r="381">
      <c r="E381" s="7">
        <f>IF(OR($A381="",$D381=""),"",IF(ISNUMBER($D381),$D381,0)-IF(ISNUMBER($C381),$C381,0))</f>
      </c>
    </row>
    <row r="382">
      <c r="E382" s="7">
        <f>IF(OR($A382="",$D382=""),"",IF(ISNUMBER($D382),$D382,0)-IF(ISNUMBER($C382),$C382,0))</f>
      </c>
    </row>
    <row r="383">
      <c r="E383" s="7">
        <f>IF(OR($A383="",$D383=""),"",IF(ISNUMBER($D383),$D383,0)-IF(ISNUMBER($C383),$C383,0))</f>
      </c>
    </row>
    <row r="384">
      <c r="E384" s="7">
        <f>IF(OR($A384="",$D384=""),"",IF(ISNUMBER($D384),$D384,0)-IF(ISNUMBER($C384),$C384,0))</f>
      </c>
    </row>
    <row r="385">
      <c r="E385" s="7">
        <f>IF(OR($A385="",$D385=""),"",IF(ISNUMBER($D385),$D385,0)-IF(ISNUMBER($C385),$C385,0))</f>
      </c>
    </row>
    <row r="386">
      <c r="E386" s="7">
        <f>IF(OR($A386="",$D386=""),"",IF(ISNUMBER($D386),$D386,0)-IF(ISNUMBER($C386),$C386,0))</f>
      </c>
    </row>
    <row r="387">
      <c r="E387" s="7">
        <f>IF(OR($A387="",$D387=""),"",IF(ISNUMBER($D387),$D387,0)-IF(ISNUMBER($C387),$C387,0))</f>
      </c>
    </row>
    <row r="388">
      <c r="E388" s="7">
        <f>IF(OR($A388="",$D388=""),"",IF(ISNUMBER($D388),$D388,0)-IF(ISNUMBER($C388),$C388,0))</f>
      </c>
    </row>
    <row r="389">
      <c r="E389" s="7">
        <f>IF(OR($A389="",$D389=""),"",IF(ISNUMBER($D389),$D389,0)-IF(ISNUMBER($C389),$C389,0))</f>
      </c>
    </row>
    <row r="390">
      <c r="E390" s="7">
        <f>IF(OR($A390="",$D390=""),"",IF(ISNUMBER($D390),$D390,0)-IF(ISNUMBER($C390),$C390,0))</f>
      </c>
    </row>
    <row r="391">
      <c r="E391" s="7">
        <f>IF(OR($A391="",$D391=""),"",IF(ISNUMBER($D391),$D391,0)-IF(ISNUMBER($C391),$C391,0))</f>
      </c>
    </row>
    <row r="392">
      <c r="E392" s="7">
        <f>IF(OR($A392="",$D392=""),"",IF(ISNUMBER($D392),$D392,0)-IF(ISNUMBER($C392),$C392,0))</f>
      </c>
    </row>
    <row r="393">
      <c r="E393" s="7">
        <f>IF(OR($A393="",$D393=""),"",IF(ISNUMBER($D393),$D393,0)-IF(ISNUMBER($C393),$C393,0))</f>
      </c>
    </row>
    <row r="394">
      <c r="E394" s="7">
        <f>IF(OR($A394="",$D394=""),"",IF(ISNUMBER($D394),$D394,0)-IF(ISNUMBER($C394),$C394,0))</f>
      </c>
    </row>
    <row r="395">
      <c r="E395" s="7">
        <f>IF(OR($A395="",$D395=""),"",IF(ISNUMBER($D395),$D395,0)-IF(ISNUMBER($C395),$C395,0))</f>
      </c>
    </row>
    <row r="396">
      <c r="E396" s="7">
        <f>IF(OR($A396="",$D396=""),"",IF(ISNUMBER($D396),$D396,0)-IF(ISNUMBER($C396),$C396,0))</f>
      </c>
    </row>
    <row r="397">
      <c r="E397" s="7">
        <f>IF(OR($A397="",$D397=""),"",IF(ISNUMBER($D397),$D397,0)-IF(ISNUMBER($C397),$C397,0))</f>
      </c>
    </row>
    <row r="398">
      <c r="E398" s="7">
        <f>IF(OR($A398="",$D398=""),"",IF(ISNUMBER($D398),$D398,0)-IF(ISNUMBER($C398),$C398,0))</f>
      </c>
    </row>
    <row r="399">
      <c r="E399" s="7">
        <f>IF(OR($A399="",$D399=""),"",IF(ISNUMBER($D399),$D399,0)-IF(ISNUMBER($C399),$C399,0))</f>
      </c>
    </row>
    <row r="400">
      <c r="E400" s="7">
        <f>IF(OR($A400="",$D400=""),"",IF(ISNUMBER($D400),$D400,0)-IF(ISNUMBER($C400),$C400,0))</f>
      </c>
    </row>
    <row r="401">
      <c r="E401" s="7">
        <f>IF(OR($A401="",$D401=""),"",IF(ISNUMBER($D401),$D401,0)-IF(ISNUMBER($C401),$C401,0))</f>
      </c>
    </row>
    <row r="402">
      <c r="E402" s="7">
        <f>IF(OR($A402="",$D402=""),"",IF(ISNUMBER($D402),$D402,0)-IF(ISNUMBER($C402),$C402,0))</f>
      </c>
    </row>
    <row r="403">
      <c r="E403" s="7">
        <f>IF(OR($A403="",$D403=""),"",IF(ISNUMBER($D403),$D403,0)-IF(ISNUMBER($C403),$C403,0))</f>
      </c>
    </row>
    <row r="404">
      <c r="E404" s="7">
        <f>IF(OR($A404="",$D404=""),"",IF(ISNUMBER($D404),$D404,0)-IF(ISNUMBER($C404),$C404,0))</f>
      </c>
    </row>
    <row r="405">
      <c r="E405" s="7">
        <f>IF(OR($A405="",$D405=""),"",IF(ISNUMBER($D405),$D405,0)-IF(ISNUMBER($C405),$C405,0))</f>
      </c>
    </row>
    <row r="406">
      <c r="E406" s="7">
        <f>IF(OR($A406="",$D406=""),"",IF(ISNUMBER($D406),$D406,0)-IF(ISNUMBER($C406),$C406,0))</f>
      </c>
    </row>
    <row r="407">
      <c r="E407" s="7">
        <f>IF(OR($A407="",$D407=""),"",IF(ISNUMBER($D407),$D407,0)-IF(ISNUMBER($C407),$C407,0))</f>
      </c>
    </row>
    <row r="408">
      <c r="E408" s="7">
        <f>IF(OR($A408="",$D408=""),"",IF(ISNUMBER($D408),$D408,0)-IF(ISNUMBER($C408),$C408,0))</f>
      </c>
    </row>
    <row r="409">
      <c r="E409" s="7">
        <f>IF(OR($A409="",$D409=""),"",IF(ISNUMBER($D409),$D409,0)-IF(ISNUMBER($C409),$C409,0))</f>
      </c>
    </row>
    <row r="410">
      <c r="E410" s="7">
        <f>IF(OR($A410="",$D410=""),"",IF(ISNUMBER($D410),$D410,0)-IF(ISNUMBER($C410),$C410,0))</f>
      </c>
    </row>
    <row r="411">
      <c r="E411" s="7">
        <f>IF(OR($A411="",$D411=""),"",IF(ISNUMBER($D411),$D411,0)-IF(ISNUMBER($C411),$C411,0))</f>
      </c>
    </row>
    <row r="412">
      <c r="E412" s="7">
        <f>IF(OR($A412="",$D412=""),"",IF(ISNUMBER($D412),$D412,0)-IF(ISNUMBER($C412),$C412,0))</f>
      </c>
    </row>
    <row r="413">
      <c r="E413" s="7">
        <f>IF(OR($A413="",$D413=""),"",IF(ISNUMBER($D413),$D413,0)-IF(ISNUMBER($C413),$C413,0))</f>
      </c>
    </row>
    <row r="414">
      <c r="E414" s="7">
        <f>IF(OR($A414="",$D414=""),"",IF(ISNUMBER($D414),$D414,0)-IF(ISNUMBER($C414),$C414,0))</f>
      </c>
    </row>
    <row r="415">
      <c r="E415" s="7">
        <f>IF(OR($A415="",$D415=""),"",IF(ISNUMBER($D415),$D415,0)-IF(ISNUMBER($C415),$C415,0))</f>
      </c>
    </row>
    <row r="416">
      <c r="E416" s="7">
        <f>IF(OR($A416="",$D416=""),"",IF(ISNUMBER($D416),$D416,0)-IF(ISNUMBER($C416),$C416,0))</f>
      </c>
    </row>
    <row r="417">
      <c r="E417" s="7">
        <f>IF(OR($A417="",$D417=""),"",IF(ISNUMBER($D417),$D417,0)-IF(ISNUMBER($C417),$C417,0))</f>
      </c>
    </row>
    <row r="418">
      <c r="E418" s="7">
        <f>IF(OR($A418="",$D418=""),"",IF(ISNUMBER($D418),$D418,0)-IF(ISNUMBER($C418),$C418,0))</f>
      </c>
    </row>
    <row r="419">
      <c r="E419" s="7">
        <f>IF(OR($A419="",$D419=""),"",IF(ISNUMBER($D419),$D419,0)-IF(ISNUMBER($C419),$C419,0))</f>
      </c>
    </row>
    <row r="420">
      <c r="E420" s="7">
        <f>IF(OR($A420="",$D420=""),"",IF(ISNUMBER($D420),$D420,0)-IF(ISNUMBER($C420),$C420,0))</f>
      </c>
    </row>
    <row r="421">
      <c r="E421" s="7">
        <f>IF(OR($A421="",$D421=""),"",IF(ISNUMBER($D421),$D421,0)-IF(ISNUMBER($C421),$C421,0))</f>
      </c>
    </row>
    <row r="422">
      <c r="E422" s="7">
        <f>IF(OR($A422="",$D422=""),"",IF(ISNUMBER($D422),$D422,0)-IF(ISNUMBER($C422),$C422,0))</f>
      </c>
    </row>
    <row r="423">
      <c r="E423" s="7">
        <f>IF(OR($A423="",$D423=""),"",IF(ISNUMBER($D423),$D423,0)-IF(ISNUMBER($C423),$C423,0))</f>
      </c>
    </row>
    <row r="424">
      <c r="E424" s="7">
        <f>IF(OR($A424="",$D424=""),"",IF(ISNUMBER($D424),$D424,0)-IF(ISNUMBER($C424),$C424,0))</f>
      </c>
    </row>
    <row r="425">
      <c r="E425" s="7">
        <f>IF(OR($A425="",$D425=""),"",IF(ISNUMBER($D425),$D425,0)-IF(ISNUMBER($C425),$C425,0))</f>
      </c>
    </row>
    <row r="426">
      <c r="E426" s="7">
        <f>IF(OR($A426="",$D426=""),"",IF(ISNUMBER($D426),$D426,0)-IF(ISNUMBER($C426),$C426,0))</f>
      </c>
    </row>
    <row r="427">
      <c r="E427" s="7">
        <f>IF(OR($A427="",$D427=""),"",IF(ISNUMBER($D427),$D427,0)-IF(ISNUMBER($C427),$C427,0))</f>
      </c>
    </row>
    <row r="428">
      <c r="E428" s="7">
        <f>IF(OR($A428="",$D428=""),"",IF(ISNUMBER($D428),$D428,0)-IF(ISNUMBER($C428),$C428,0))</f>
      </c>
    </row>
    <row r="429">
      <c r="E429" s="7">
        <f>IF(OR($A429="",$D429=""),"",IF(ISNUMBER($D429),$D429,0)-IF(ISNUMBER($C429),$C429,0))</f>
      </c>
    </row>
    <row r="430">
      <c r="E430" s="7">
        <f>IF(OR($A430="",$D430=""),"",IF(ISNUMBER($D430),$D430,0)-IF(ISNUMBER($C430),$C430,0))</f>
      </c>
    </row>
    <row r="431">
      <c r="E431" s="7">
        <f>IF(OR($A431="",$D431=""),"",IF(ISNUMBER($D431),$D431,0)-IF(ISNUMBER($C431),$C431,0))</f>
      </c>
    </row>
    <row r="432">
      <c r="E432" s="7">
        <f>IF(OR($A432="",$D432=""),"",IF(ISNUMBER($D432),$D432,0)-IF(ISNUMBER($C432),$C432,0))</f>
      </c>
    </row>
    <row r="433">
      <c r="E433" s="7">
        <f>IF(OR($A433="",$D433=""),"",IF(ISNUMBER($D433),$D433,0)-IF(ISNUMBER($C433),$C433,0))</f>
      </c>
    </row>
    <row r="434">
      <c r="E434" s="7">
        <f>IF(OR($A434="",$D434=""),"",IF(ISNUMBER($D434),$D434,0)-IF(ISNUMBER($C434),$C434,0))</f>
      </c>
    </row>
    <row r="435">
      <c r="E435" s="7">
        <f>IF(OR($A435="",$D435=""),"",IF(ISNUMBER($D435),$D435,0)-IF(ISNUMBER($C435),$C435,0))</f>
      </c>
    </row>
    <row r="436">
      <c r="E436" s="7">
        <f>IF(OR($A436="",$D436=""),"",IF(ISNUMBER($D436),$D436,0)-IF(ISNUMBER($C436),$C436,0))</f>
      </c>
    </row>
    <row r="437">
      <c r="E437" s="7">
        <f>IF(OR($A437="",$D437=""),"",IF(ISNUMBER($D437),$D437,0)-IF(ISNUMBER($C437),$C437,0))</f>
      </c>
    </row>
    <row r="438">
      <c r="E438" s="7">
        <f>IF(OR($A438="",$D438=""),"",IF(ISNUMBER($D438),$D438,0)-IF(ISNUMBER($C438),$C438,0))</f>
      </c>
    </row>
    <row r="439">
      <c r="E439" s="7">
        <f>IF(OR($A439="",$D439=""),"",IF(ISNUMBER($D439),$D439,0)-IF(ISNUMBER($C439),$C439,0))</f>
      </c>
    </row>
    <row r="440">
      <c r="E440" s="7">
        <f>IF(OR($A440="",$D440=""),"",IF(ISNUMBER($D440),$D440,0)-IF(ISNUMBER($C440),$C440,0))</f>
      </c>
    </row>
    <row r="441">
      <c r="E441" s="7">
        <f>IF(OR($A441="",$D441=""),"",IF(ISNUMBER($D441),$D441,0)-IF(ISNUMBER($C441),$C441,0))</f>
      </c>
    </row>
    <row r="442">
      <c r="E442" s="7">
        <f>IF(OR($A442="",$D442=""),"",IF(ISNUMBER($D442),$D442,0)-IF(ISNUMBER($C442),$C442,0))</f>
      </c>
    </row>
    <row r="443">
      <c r="E443" s="7">
        <f>IF(OR($A443="",$D443=""),"",IF(ISNUMBER($D443),$D443,0)-IF(ISNUMBER($C443),$C443,0))</f>
      </c>
    </row>
    <row r="444">
      <c r="E444" s="7">
        <f>IF(OR($A444="",$D444=""),"",IF(ISNUMBER($D444),$D444,0)-IF(ISNUMBER($C444),$C444,0))</f>
      </c>
    </row>
    <row r="445">
      <c r="E445" s="7">
        <f>IF(OR($A445="",$D445=""),"",IF(ISNUMBER($D445),$D445,0)-IF(ISNUMBER($C445),$C445,0))</f>
      </c>
    </row>
    <row r="446">
      <c r="E446" s="7">
        <f>IF(OR($A446="",$D446=""),"",IF(ISNUMBER($D446),$D446,0)-IF(ISNUMBER($C446),$C446,0))</f>
      </c>
    </row>
    <row r="447">
      <c r="E447" s="7">
        <f>IF(OR($A447="",$D447=""),"",IF(ISNUMBER($D447),$D447,0)-IF(ISNUMBER($C447),$C447,0))</f>
      </c>
    </row>
    <row r="448">
      <c r="E448" s="7">
        <f>IF(OR($A448="",$D448=""),"",IF(ISNUMBER($D448),$D448,0)-IF(ISNUMBER($C448),$C448,0))</f>
      </c>
    </row>
    <row r="449">
      <c r="E449" s="7">
        <f>IF(OR($A449="",$D449=""),"",IF(ISNUMBER($D449),$D449,0)-IF(ISNUMBER($C449),$C449,0))</f>
      </c>
    </row>
    <row r="450">
      <c r="E450" s="7">
        <f>IF(OR($A450="",$D450=""),"",IF(ISNUMBER($D450),$D450,0)-IF(ISNUMBER($C450),$C450,0))</f>
      </c>
    </row>
    <row r="451">
      <c r="E451" s="7">
        <f>IF(OR($A451="",$D451=""),"",IF(ISNUMBER($D451),$D451,0)-IF(ISNUMBER($C451),$C451,0))</f>
      </c>
    </row>
    <row r="452">
      <c r="E452" s="7">
        <f>IF(OR($A452="",$D452=""),"",IF(ISNUMBER($D452),$D452,0)-IF(ISNUMBER($C452),$C452,0))</f>
      </c>
    </row>
    <row r="453">
      <c r="E453" s="7">
        <f>IF(OR($A453="",$D453=""),"",IF(ISNUMBER($D453),$D453,0)-IF(ISNUMBER($C453),$C453,0))</f>
      </c>
    </row>
    <row r="454">
      <c r="E454" s="7">
        <f>IF(OR($A454="",$D454=""),"",IF(ISNUMBER($D454),$D454,0)-IF(ISNUMBER($C454),$C454,0))</f>
      </c>
    </row>
    <row r="455">
      <c r="E455" s="7">
        <f>IF(OR($A455="",$D455=""),"",IF(ISNUMBER($D455),$D455,0)-IF(ISNUMBER($C455),$C455,0))</f>
      </c>
    </row>
    <row r="456">
      <c r="E456" s="7">
        <f>IF(OR($A456="",$D456=""),"",IF(ISNUMBER($D456),$D456,0)-IF(ISNUMBER($C456),$C456,0))</f>
      </c>
    </row>
    <row r="457">
      <c r="E457" s="7">
        <f>IF(OR($A457="",$D457=""),"",IF(ISNUMBER($D457),$D457,0)-IF(ISNUMBER($C457),$C457,0))</f>
      </c>
    </row>
    <row r="458">
      <c r="E458" s="7">
        <f>IF(OR($A458="",$D458=""),"",IF(ISNUMBER($D458),$D458,0)-IF(ISNUMBER($C458),$C458,0))</f>
      </c>
    </row>
    <row r="459">
      <c r="E459" s="7">
        <f>IF(OR($A459="",$D459=""),"",IF(ISNUMBER($D459),$D459,0)-IF(ISNUMBER($C459),$C459,0))</f>
      </c>
    </row>
    <row r="460">
      <c r="E460" s="7">
        <f>IF(OR($A460="",$D460=""),"",IF(ISNUMBER($D460),$D460,0)-IF(ISNUMBER($C460),$C460,0))</f>
      </c>
    </row>
    <row r="461">
      <c r="E461" s="7">
        <f>IF(OR($A461="",$D461=""),"",IF(ISNUMBER($D461),$D461,0)-IF(ISNUMBER($C461),$C461,0))</f>
      </c>
    </row>
    <row r="462">
      <c r="E462" s="7">
        <f>IF(OR($A462="",$D462=""),"",IF(ISNUMBER($D462),$D462,0)-IF(ISNUMBER($C462),$C462,0))</f>
      </c>
    </row>
    <row r="463">
      <c r="E463" s="7">
        <f>IF(OR($A463="",$D463=""),"",IF(ISNUMBER($D463),$D463,0)-IF(ISNUMBER($C463),$C463,0))</f>
      </c>
    </row>
    <row r="464">
      <c r="E464" s="7">
        <f>IF(OR($A464="",$D464=""),"",IF(ISNUMBER($D464),$D464,0)-IF(ISNUMBER($C464),$C464,0))</f>
      </c>
    </row>
    <row r="465">
      <c r="E465" s="7">
        <f>IF(OR($A465="",$D465=""),"",IF(ISNUMBER($D465),$D465,0)-IF(ISNUMBER($C465),$C465,0))</f>
      </c>
    </row>
    <row r="466">
      <c r="E466" s="7">
        <f>IF(OR($A466="",$D466=""),"",IF(ISNUMBER($D466),$D466,0)-IF(ISNUMBER($C466),$C466,0))</f>
      </c>
    </row>
    <row r="467">
      <c r="E467" s="7">
        <f>IF(OR($A467="",$D467=""),"",IF(ISNUMBER($D467),$D467,0)-IF(ISNUMBER($C467),$C467,0))</f>
      </c>
    </row>
    <row r="468">
      <c r="E468" s="7">
        <f>IF(OR($A468="",$D468=""),"",IF(ISNUMBER($D468),$D468,0)-IF(ISNUMBER($C468),$C468,0))</f>
      </c>
    </row>
    <row r="469">
      <c r="E469" s="7">
        <f>IF(OR($A469="",$D469=""),"",IF(ISNUMBER($D469),$D469,0)-IF(ISNUMBER($C469),$C469,0))</f>
      </c>
    </row>
    <row r="470">
      <c r="E470" s="7">
        <f>IF(OR($A470="",$D470=""),"",IF(ISNUMBER($D470),$D470,0)-IF(ISNUMBER($C470),$C470,0))</f>
      </c>
    </row>
    <row r="471">
      <c r="E471" s="7">
        <f>IF(OR($A471="",$D471=""),"",IF(ISNUMBER($D471),$D471,0)-IF(ISNUMBER($C471),$C471,0))</f>
      </c>
    </row>
    <row r="472">
      <c r="E472" s="7">
        <f>IF(OR($A472="",$D472=""),"",IF(ISNUMBER($D472),$D472,0)-IF(ISNUMBER($C472),$C472,0))</f>
      </c>
    </row>
    <row r="473">
      <c r="E473" s="7">
        <f>IF(OR($A473="",$D473=""),"",IF(ISNUMBER($D473),$D473,0)-IF(ISNUMBER($C473),$C473,0))</f>
      </c>
    </row>
    <row r="474">
      <c r="E474" s="7">
        <f>IF(OR($A474="",$D474=""),"",IF(ISNUMBER($D474),$D474,0)-IF(ISNUMBER($C474),$C474,0))</f>
      </c>
    </row>
    <row r="475">
      <c r="E475" s="7">
        <f>IF(OR($A475="",$D475=""),"",IF(ISNUMBER($D475),$D475,0)-IF(ISNUMBER($C475),$C475,0))</f>
      </c>
    </row>
    <row r="476">
      <c r="E476" s="7">
        <f>IF(OR($A476="",$D476=""),"",IF(ISNUMBER($D476),$D476,0)-IF(ISNUMBER($C476),$C476,0))</f>
      </c>
    </row>
    <row r="477">
      <c r="E477" s="7">
        <f>IF(OR($A477="",$D477=""),"",IF(ISNUMBER($D477),$D477,0)-IF(ISNUMBER($C477),$C477,0))</f>
      </c>
    </row>
    <row r="478">
      <c r="E478" s="7">
        <f>IF(OR($A478="",$D478=""),"",IF(ISNUMBER($D478),$D478,0)-IF(ISNUMBER($C478),$C478,0))</f>
      </c>
    </row>
    <row r="479">
      <c r="E479" s="7">
        <f>IF(OR($A479="",$D479=""),"",IF(ISNUMBER($D479),$D479,0)-IF(ISNUMBER($C479),$C479,0))</f>
      </c>
    </row>
    <row r="480">
      <c r="E480" s="7">
        <f>IF(OR($A480="",$D480=""),"",IF(ISNUMBER($D480),$D480,0)-IF(ISNUMBER($C480),$C480,0))</f>
      </c>
    </row>
    <row r="481">
      <c r="E481" s="7">
        <f>IF(OR($A481="",$D481=""),"",IF(ISNUMBER($D481),$D481,0)-IF(ISNUMBER($C481),$C481,0))</f>
      </c>
    </row>
    <row r="482">
      <c r="E482" s="7">
        <f>IF(OR($A482="",$D482=""),"",IF(ISNUMBER($D482),$D482,0)-IF(ISNUMBER($C482),$C482,0))</f>
      </c>
    </row>
    <row r="483">
      <c r="E483" s="7">
        <f>IF(OR($A483="",$D483=""),"",IF(ISNUMBER($D483),$D483,0)-IF(ISNUMBER($C483),$C483,0))</f>
      </c>
    </row>
    <row r="484">
      <c r="E484" s="7">
        <f>IF(OR($A484="",$D484=""),"",IF(ISNUMBER($D484),$D484,0)-IF(ISNUMBER($C484),$C484,0))</f>
      </c>
    </row>
    <row r="485">
      <c r="E485" s="7">
        <f>IF(OR($A485="",$D485=""),"",IF(ISNUMBER($D485),$D485,0)-IF(ISNUMBER($C485),$C485,0))</f>
      </c>
    </row>
    <row r="486">
      <c r="E486" s="7">
        <f>IF(OR($A486="",$D486=""),"",IF(ISNUMBER($D486),$D486,0)-IF(ISNUMBER($C486),$C486,0))</f>
      </c>
    </row>
    <row r="487">
      <c r="E487" s="7">
        <f>IF(OR($A487="",$D487=""),"",IF(ISNUMBER($D487),$D487,0)-IF(ISNUMBER($C487),$C487,0))</f>
      </c>
    </row>
    <row r="488">
      <c r="E488" s="7">
        <f>IF(OR($A488="",$D488=""),"",IF(ISNUMBER($D488),$D488,0)-IF(ISNUMBER($C488),$C488,0))</f>
      </c>
    </row>
    <row r="489">
      <c r="E489" s="7">
        <f>IF(OR($A489="",$D489=""),"",IF(ISNUMBER($D489),$D489,0)-IF(ISNUMBER($C489),$C489,0))</f>
      </c>
    </row>
    <row r="490">
      <c r="E490" s="7">
        <f>IF(OR($A490="",$D490=""),"",IF(ISNUMBER($D490),$D490,0)-IF(ISNUMBER($C490),$C490,0))</f>
      </c>
    </row>
    <row r="491">
      <c r="E491" s="7">
        <f>IF(OR($A491="",$D491=""),"",IF(ISNUMBER($D491),$D491,0)-IF(ISNUMBER($C491),$C491,0))</f>
      </c>
    </row>
    <row r="492">
      <c r="E492" s="7">
        <f>IF(OR($A492="",$D492=""),"",IF(ISNUMBER($D492),$D492,0)-IF(ISNUMBER($C492),$C492,0))</f>
      </c>
    </row>
    <row r="493">
      <c r="E493" s="7">
        <f>IF(OR($A493="",$D493=""),"",IF(ISNUMBER($D493),$D493,0)-IF(ISNUMBER($C493),$C493,0))</f>
      </c>
    </row>
    <row r="494">
      <c r="E494" s="7">
        <f>IF(OR($A494="",$D494=""),"",IF(ISNUMBER($D494),$D494,0)-IF(ISNUMBER($C494),$C494,0))</f>
      </c>
    </row>
    <row r="495">
      <c r="E495" s="7">
        <f>IF(OR($A495="",$D495=""),"",IF(ISNUMBER($D495),$D495,0)-IF(ISNUMBER($C495),$C495,0))</f>
      </c>
    </row>
    <row r="496">
      <c r="E496" s="7">
        <f>IF(OR($A496="",$D496=""),"",IF(ISNUMBER($D496),$D496,0)-IF(ISNUMBER($C496),$C496,0))</f>
      </c>
    </row>
    <row r="497">
      <c r="E497" s="7">
        <f>IF(OR($A497="",$D497=""),"",IF(ISNUMBER($D497),$D497,0)-IF(ISNUMBER($C497),$C497,0))</f>
      </c>
    </row>
    <row r="498">
      <c r="E498" s="7">
        <f>IF(OR($A498="",$D498=""),"",IF(ISNUMBER($D498),$D498,0)-IF(ISNUMBER($C498),$C498,0))</f>
      </c>
    </row>
    <row r="499">
      <c r="E499" s="7">
        <f>IF(OR($A499="",$D499=""),"",IF(ISNUMBER($D499),$D499,0)-IF(ISNUMBER($C499),$C499,0))</f>
      </c>
    </row>
    <row r="500">
      <c r="E500" s="7">
        <f>IF(OR($A500="",$D500=""),"",IF(ISNUMBER($D500),$D500,0)-IF(ISNUMBER($C500),$C500,0))</f>
      </c>
    </row>
    <row r="501">
      <c r="E501" s="7">
        <f>IF(OR($A501="",$D501=""),"",IF(ISNUMBER($D501),$D501,0)-IF(ISNUMBER($C501),$C501,0))</f>
      </c>
    </row>
    <row r="502">
      <c r="E502" s="7">
        <f>IF(OR($A502="",$D502=""),"",IF(ISNUMBER($D502),$D502,0)-IF(ISNUMBER($C502),$C502,0))</f>
      </c>
    </row>
    <row r="503">
      <c r="E503" s="7">
        <f>IF(OR($A503="",$D503=""),"",IF(ISNUMBER($D503),$D503,0)-IF(ISNUMBER($C503),$C503,0))</f>
      </c>
    </row>
    <row r="504">
      <c r="E504" s="7">
        <f>IF(OR($A504="",$D504=""),"",IF(ISNUMBER($D504),$D504,0)-IF(ISNUMBER($C504),$C504,0))</f>
      </c>
    </row>
    <row r="505">
      <c r="E505" s="7">
        <f>IF(OR($A505="",$D505=""),"",IF(ISNUMBER($D505),$D505,0)-IF(ISNUMBER($C505),$C505,0))</f>
      </c>
    </row>
    <row r="506">
      <c r="E506" s="7">
        <f>IF(OR($A506="",$D506=""),"",IF(ISNUMBER($D506),$D506,0)-IF(ISNUMBER($C506),$C506,0))</f>
      </c>
    </row>
  </sheetData>
  <conditionalFormatting sqref="A7:G506">
    <cfRule type="expression" dxfId="0" priority="1">
      <formula>AND($A7&lt;&gt;"",$D7&lt;&gt;"",IF(ISNUMBER($D7),$D7,0)&lt;&gt;IF(ISNUMBER($C7),$C7,0))</formula>
    </cfRule>
  </conditionalFormatting>
  <conditionalFormatting sqref="A6:G506">
    <cfRule type="expression" dxfId="1" priority="2">
      <formula>ROW()&lt;=MAX(36,6+COUNTA($A$7:$A$506))</formula>
    </cfRule>
  </conditionalFormatting>
  <hyperlinks>
    <hyperlink ref="A2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20" customHeight="1"/>
  <cols>
    <col min="1" max="1" width="5" customWidth="1"/>
    <col min="2" max="2" width="28" customWidth="1"/>
    <col min="3" max="3" width="6" customWidth="1"/>
    <col min="4" max="4" width="13" customWidth="1"/>
    <col min="5" max="5" width="13" customWidth="1" style="18"/>
    <col min="6" max="6" width="13" customWidth="1"/>
    <col min="7" max="7" width="14" customWidth="1" style="18"/>
    <col min="8" max="8" width="15" customWidth="1"/>
  </cols>
  <sheetData>
    <row r="1" ht="28" customHeight="1">
      <c r="A1" t="inlineStr" s="3">
        <is>
          <t xml:space="preserve">Spis z natury</t>
        </is>
      </c>
    </row>
    <row r="2">
      <c r="A2" t="inlineStr">
        <is>
          <t xml:space="preserve">towarów handlowych, materiałów (surowców) podstawowych i pomocniczych, półwyrobów,</t>
        </is>
      </c>
    </row>
    <row r="3">
      <c r="A3" t="inlineStr">
        <is>
          <t xml:space="preserve">produkcji w toku, wyrobów gotowych, braków i odpadów</t>
        </is>
      </c>
    </row>
    <row r="5">
      <c r="A5" t="inlineStr" s="4">
        <is>
          <t xml:space="preserve">Imię i nazwisko właściciela zakładu (nazwa firmy)</t>
        </is>
      </c>
      <c r="F5" s="5"/>
      <c r="G5" s="5"/>
      <c r="H5" s="5"/>
    </row>
    <row r="6">
      <c r="A6" t="inlineStr" s="4">
        <is>
          <t xml:space="preserve">NIP</t>
        </is>
      </c>
      <c r="F6" s="5"/>
      <c r="G6" s="5"/>
      <c r="H6" s="5"/>
    </row>
    <row r="7">
      <c r="A7" t="inlineStr" s="4">
        <is>
          <t xml:space="preserve">Spis sporządzony na dzień</t>
        </is>
      </c>
      <c r="F7" s="6"/>
      <c r="G7" s="5"/>
      <c r="H7" s="5"/>
    </row>
    <row r="8">
      <c r="A8" t="inlineStr" s="4">
        <is>
          <t xml:space="preserve">Data sporządzenia spisu z natury</t>
        </is>
      </c>
      <c r="F8" s="6"/>
      <c r="G8" s="5"/>
      <c r="H8" s="5"/>
    </row>
    <row r="9">
      <c r="A9" t="inlineStr" s="4">
        <is>
          <t xml:space="preserve">Spis sporządził(a)</t>
        </is>
      </c>
      <c r="F9" s="5"/>
      <c r="G9" s="5"/>
      <c r="H9" s="5"/>
    </row>
    <row r="10">
      <c r="A10" t="inlineStr" s="4">
        <is>
          <t xml:space="preserve">Data wyceny</t>
        </is>
      </c>
      <c r="F10" s="6"/>
      <c r="G10" s="5"/>
      <c r="H10" s="5"/>
    </row>
    <row r="11">
      <c r="E11" t="inlineStr" s="10">
        <is>
          <t xml:space="preserve">Łączna wartość spisu z natury</t>
        </is>
      </c>
      <c r="F11" s="14">
        <f>SUM($F$18:$F$517)</f>
      </c>
    </row>
    <row r="12">
      <c r="A12" t="inlineStr" s="19">
        <is>
          <t xml:space="preserve">Spis obejmuje też własne towary poza zakładem i towary obce w zakładzie (§ 21 ust. 3).</t>
        </is>
      </c>
    </row>
    <row r="13">
      <c r="A13" t="inlineStr" s="19">
        <is>
          <t xml:space="preserve">Towary obce wpisz bez wyceny, z podaniem, czyją stanowią własność (§ 21 ust. 3).</t>
        </is>
      </c>
    </row>
    <row r="14">
      <c r="A14" t="inlineStr" s="19">
        <is>
          <t xml:space="preserve">Wycena najpóźniej w terminie 14 dni od dnia zakończenia spisu z natury (§ 22 ust. 7).</t>
        </is>
      </c>
    </row>
    <row r="15">
      <c r="A15" t="inlineStr" s="19">
        <is>
          <t xml:space="preserve">Każda pozycja pokazuje ten sam wiersz arkusza Inwentaryzacja: dodawaj, usuwaj i sortuj wiersze tam, zanim wpiszesz tu ceny.</t>
        </is>
      </c>
    </row>
    <row r="17" ht="65" customHeight="1">
      <c r="A17" t="inlineStr" s="16">
        <is>
          <t xml:space="preserve">Lp.</t>
        </is>
      </c>
      <c r="B17" t="inlineStr" s="16">
        <is>
          <t xml:space="preserve">Nazwa (szczegółowe określenie składnika)</t>
        </is>
      </c>
      <c r="C17" t="inlineStr" s="16">
        <is>
          <t xml:space="preserve">J.m.</t>
        </is>
      </c>
      <c r="D17" t="inlineStr" s="16">
        <is>
          <t xml:space="preserve">Ilość stwierdzona</t>
        </is>
      </c>
      <c r="E17" t="inlineStr" s="16">
        <is>
          <t xml:space="preserve">Cena jednostkowa (zł, gr)</t>
        </is>
      </c>
      <c r="F17" t="inlineStr" s="16">
        <is>
          <t xml:space="preserve">Wartość (zł, gr)</t>
        </is>
      </c>
      <c r="G17" t="inlineStr" s="16">
        <is>
          <t xml:space="preserve">Cena zakupu (nabycia), gdy wycena niższa</t>
        </is>
      </c>
      <c r="H17" t="inlineStr" s="16">
        <is>
          <t xml:space="preserve">Uwagi</t>
        </is>
      </c>
    </row>
    <row r="18">
      <c r="A18" s="15">
        <f>IF(OR(OFFSET('Inwentaryzacja'!$A$6,1,0)&lt;&gt;"",LEN($D18)&gt;0,LEN($E18)&gt;0),1,"")</f>
      </c>
      <c r="B18" s="15">
        <f>IF(OFFSET('Inwentaryzacja'!$A$6,1,0)&lt;&gt;"",OFFSET('Inwentaryzacja'!$A$6,1,0),"")</f>
      </c>
      <c r="C18" s="15">
        <f>IF(OR(OFFSET('Inwentaryzacja'!$A$6,1,0)="",OFFSET('Inwentaryzacja'!$B$6,1,0)=""),"",OFFSET('Inwentaryzacja'!$B$6,1,0))</f>
      </c>
      <c r="D18" s="15">
        <f>IF(OR(OFFSET('Inwentaryzacja'!$A$6,1,0)="",OFFSET('Inwentaryzacja'!$D$6,1,0)=""),"",OFFSET('Inwentaryzacja'!$D$6,1,0))</f>
      </c>
      <c r="E18" s="17"/>
      <c r="F18" s="12">
        <f>IF(AND(ISNUMBER($D18),ISNUMBER($E18)),ROUND($D18*$E18,2),"")</f>
      </c>
      <c r="G18" s="17"/>
      <c r="H18" s="11"/>
    </row>
    <row r="19">
      <c r="A19" s="15">
        <f>IF(OR(OFFSET('Inwentaryzacja'!$A$6,2,0)&lt;&gt;"",LEN($D19)&gt;0,LEN($E19)&gt;0),COUNT($A$18:$A18)+1,"")</f>
      </c>
      <c r="B19" s="15">
        <f>IF(OFFSET('Inwentaryzacja'!$A$6,2,0)&lt;&gt;"",OFFSET('Inwentaryzacja'!$A$6,2,0),IF(AND(ISNUMBER($A18),COUNT($A19:$A$517)=0),"Spis zakończono na pozycji "&amp;$A18,""))</f>
      </c>
      <c r="C19" s="15">
        <f>IF(OR(OFFSET('Inwentaryzacja'!$A$6,2,0)="",OFFSET('Inwentaryzacja'!$B$6,2,0)=""),"",OFFSET('Inwentaryzacja'!$B$6,2,0))</f>
      </c>
      <c r="D19" s="15">
        <f>IF(OR(OFFSET('Inwentaryzacja'!$A$6,2,0)="",OFFSET('Inwentaryzacja'!$D$6,2,0)=""),"",OFFSET('Inwentaryzacja'!$D$6,2,0))</f>
      </c>
      <c r="E19" s="17"/>
      <c r="F19" s="12">
        <f>IF(AND(ISNUMBER($D19),ISNUMBER($E19)),ROUND($D19*$E19,2),"")</f>
      </c>
      <c r="G19" s="17"/>
      <c r="H19" s="11"/>
    </row>
    <row r="20">
      <c r="A20" s="15">
        <f>IF(OR(OFFSET('Inwentaryzacja'!$A$6,3,0)&lt;&gt;"",LEN($D20)&gt;0,LEN($E20)&gt;0),COUNT($A$18:$A19)+1,"")</f>
      </c>
      <c r="B20" s="15">
        <f>IF(OFFSET('Inwentaryzacja'!$A$6,3,0)&lt;&gt;"",OFFSET('Inwentaryzacja'!$A$6,3,0),IF(AND(ISNUMBER($A19),COUNT($A20:$A$517)=0),"Spis zakończono na pozycji "&amp;$A19,""))</f>
      </c>
      <c r="C20" s="15">
        <f>IF(OR(OFFSET('Inwentaryzacja'!$A$6,3,0)="",OFFSET('Inwentaryzacja'!$B$6,3,0)=""),"",OFFSET('Inwentaryzacja'!$B$6,3,0))</f>
      </c>
      <c r="D20" s="15">
        <f>IF(OR(OFFSET('Inwentaryzacja'!$A$6,3,0)="",OFFSET('Inwentaryzacja'!$D$6,3,0)=""),"",OFFSET('Inwentaryzacja'!$D$6,3,0))</f>
      </c>
      <c r="E20" s="17"/>
      <c r="F20" s="12">
        <f>IF(AND(ISNUMBER($D20),ISNUMBER($E20)),ROUND($D20*$E20,2),"")</f>
      </c>
      <c r="G20" s="17"/>
      <c r="H20" s="11"/>
    </row>
    <row r="21">
      <c r="A21" s="15">
        <f>IF(OR(OFFSET('Inwentaryzacja'!$A$6,4,0)&lt;&gt;"",LEN($D21)&gt;0,LEN($E21)&gt;0),COUNT($A$18:$A20)+1,"")</f>
      </c>
      <c r="B21" s="15">
        <f>IF(OFFSET('Inwentaryzacja'!$A$6,4,0)&lt;&gt;"",OFFSET('Inwentaryzacja'!$A$6,4,0),IF(AND(ISNUMBER($A20),COUNT($A21:$A$517)=0),"Spis zakończono na pozycji "&amp;$A20,""))</f>
      </c>
      <c r="C21" s="15">
        <f>IF(OR(OFFSET('Inwentaryzacja'!$A$6,4,0)="",OFFSET('Inwentaryzacja'!$B$6,4,0)=""),"",OFFSET('Inwentaryzacja'!$B$6,4,0))</f>
      </c>
      <c r="D21" s="15">
        <f>IF(OR(OFFSET('Inwentaryzacja'!$A$6,4,0)="",OFFSET('Inwentaryzacja'!$D$6,4,0)=""),"",OFFSET('Inwentaryzacja'!$D$6,4,0))</f>
      </c>
      <c r="E21" s="17"/>
      <c r="F21" s="12">
        <f>IF(AND(ISNUMBER($D21),ISNUMBER($E21)),ROUND($D21*$E21,2),"")</f>
      </c>
      <c r="G21" s="17"/>
      <c r="H21" s="11"/>
    </row>
    <row r="22">
      <c r="A22" s="15">
        <f>IF(OR(OFFSET('Inwentaryzacja'!$A$6,5,0)&lt;&gt;"",LEN($D22)&gt;0,LEN($E22)&gt;0),COUNT($A$18:$A21)+1,"")</f>
      </c>
      <c r="B22" s="15">
        <f>IF(OFFSET('Inwentaryzacja'!$A$6,5,0)&lt;&gt;"",OFFSET('Inwentaryzacja'!$A$6,5,0),IF(AND(ISNUMBER($A21),COUNT($A22:$A$517)=0),"Spis zakończono na pozycji "&amp;$A21,""))</f>
      </c>
      <c r="C22" s="15">
        <f>IF(OR(OFFSET('Inwentaryzacja'!$A$6,5,0)="",OFFSET('Inwentaryzacja'!$B$6,5,0)=""),"",OFFSET('Inwentaryzacja'!$B$6,5,0))</f>
      </c>
      <c r="D22" s="15">
        <f>IF(OR(OFFSET('Inwentaryzacja'!$A$6,5,0)="",OFFSET('Inwentaryzacja'!$D$6,5,0)=""),"",OFFSET('Inwentaryzacja'!$D$6,5,0))</f>
      </c>
      <c r="E22" s="17"/>
      <c r="F22" s="12">
        <f>IF(AND(ISNUMBER($D22),ISNUMBER($E22)),ROUND($D22*$E22,2),"")</f>
      </c>
      <c r="G22" s="17"/>
      <c r="H22" s="11"/>
    </row>
    <row r="23">
      <c r="A23" s="15">
        <f>IF(OR(OFFSET('Inwentaryzacja'!$A$6,6,0)&lt;&gt;"",LEN($D23)&gt;0,LEN($E23)&gt;0),COUNT($A$18:$A22)+1,"")</f>
      </c>
      <c r="B23" s="15">
        <f>IF(OFFSET('Inwentaryzacja'!$A$6,6,0)&lt;&gt;"",OFFSET('Inwentaryzacja'!$A$6,6,0),IF(AND(ISNUMBER($A22),COUNT($A23:$A$517)=0),"Spis zakończono na pozycji "&amp;$A22,""))</f>
      </c>
      <c r="C23" s="15">
        <f>IF(OR(OFFSET('Inwentaryzacja'!$A$6,6,0)="",OFFSET('Inwentaryzacja'!$B$6,6,0)=""),"",OFFSET('Inwentaryzacja'!$B$6,6,0))</f>
      </c>
      <c r="D23" s="15">
        <f>IF(OR(OFFSET('Inwentaryzacja'!$A$6,6,0)="",OFFSET('Inwentaryzacja'!$D$6,6,0)=""),"",OFFSET('Inwentaryzacja'!$D$6,6,0))</f>
      </c>
      <c r="E23" s="17"/>
      <c r="F23" s="12">
        <f>IF(AND(ISNUMBER($D23),ISNUMBER($E23)),ROUND($D23*$E23,2),"")</f>
      </c>
      <c r="G23" s="17"/>
      <c r="H23" s="11"/>
    </row>
    <row r="24">
      <c r="A24" s="15">
        <f>IF(OR(OFFSET('Inwentaryzacja'!$A$6,7,0)&lt;&gt;"",LEN($D24)&gt;0,LEN($E24)&gt;0),COUNT($A$18:$A23)+1,"")</f>
      </c>
      <c r="B24" s="15">
        <f>IF(OFFSET('Inwentaryzacja'!$A$6,7,0)&lt;&gt;"",OFFSET('Inwentaryzacja'!$A$6,7,0),IF(AND(ISNUMBER($A23),COUNT($A24:$A$517)=0),"Spis zakończono na pozycji "&amp;$A23,""))</f>
      </c>
      <c r="C24" s="15">
        <f>IF(OR(OFFSET('Inwentaryzacja'!$A$6,7,0)="",OFFSET('Inwentaryzacja'!$B$6,7,0)=""),"",OFFSET('Inwentaryzacja'!$B$6,7,0))</f>
      </c>
      <c r="D24" s="15">
        <f>IF(OR(OFFSET('Inwentaryzacja'!$A$6,7,0)="",OFFSET('Inwentaryzacja'!$D$6,7,0)=""),"",OFFSET('Inwentaryzacja'!$D$6,7,0))</f>
      </c>
      <c r="E24" s="17"/>
      <c r="F24" s="12">
        <f>IF(AND(ISNUMBER($D24),ISNUMBER($E24)),ROUND($D24*$E24,2),"")</f>
      </c>
      <c r="G24" s="17"/>
      <c r="H24" s="11"/>
    </row>
    <row r="25">
      <c r="A25" s="15">
        <f>IF(OR(OFFSET('Inwentaryzacja'!$A$6,8,0)&lt;&gt;"",LEN($D25)&gt;0,LEN($E25)&gt;0),COUNT($A$18:$A24)+1,"")</f>
      </c>
      <c r="B25" s="15">
        <f>IF(OFFSET('Inwentaryzacja'!$A$6,8,0)&lt;&gt;"",OFFSET('Inwentaryzacja'!$A$6,8,0),IF(AND(ISNUMBER($A24),COUNT($A25:$A$517)=0),"Spis zakończono na pozycji "&amp;$A24,""))</f>
      </c>
      <c r="C25" s="15">
        <f>IF(OR(OFFSET('Inwentaryzacja'!$A$6,8,0)="",OFFSET('Inwentaryzacja'!$B$6,8,0)=""),"",OFFSET('Inwentaryzacja'!$B$6,8,0))</f>
      </c>
      <c r="D25" s="15">
        <f>IF(OR(OFFSET('Inwentaryzacja'!$A$6,8,0)="",OFFSET('Inwentaryzacja'!$D$6,8,0)=""),"",OFFSET('Inwentaryzacja'!$D$6,8,0))</f>
      </c>
      <c r="E25" s="17"/>
      <c r="F25" s="12">
        <f>IF(AND(ISNUMBER($D25),ISNUMBER($E25)),ROUND($D25*$E25,2),"")</f>
      </c>
      <c r="G25" s="17"/>
      <c r="H25" s="11"/>
    </row>
    <row r="26">
      <c r="A26" s="15">
        <f>IF(OR(OFFSET('Inwentaryzacja'!$A$6,9,0)&lt;&gt;"",LEN($D26)&gt;0,LEN($E26)&gt;0),COUNT($A$18:$A25)+1,"")</f>
      </c>
      <c r="B26" s="15">
        <f>IF(OFFSET('Inwentaryzacja'!$A$6,9,0)&lt;&gt;"",OFFSET('Inwentaryzacja'!$A$6,9,0),IF(AND(ISNUMBER($A25),COUNT($A26:$A$517)=0),"Spis zakończono na pozycji "&amp;$A25,""))</f>
      </c>
      <c r="C26" s="15">
        <f>IF(OR(OFFSET('Inwentaryzacja'!$A$6,9,0)="",OFFSET('Inwentaryzacja'!$B$6,9,0)=""),"",OFFSET('Inwentaryzacja'!$B$6,9,0))</f>
      </c>
      <c r="D26" s="15">
        <f>IF(OR(OFFSET('Inwentaryzacja'!$A$6,9,0)="",OFFSET('Inwentaryzacja'!$D$6,9,0)=""),"",OFFSET('Inwentaryzacja'!$D$6,9,0))</f>
      </c>
      <c r="E26" s="17"/>
      <c r="F26" s="12">
        <f>IF(AND(ISNUMBER($D26),ISNUMBER($E26)),ROUND($D26*$E26,2),"")</f>
      </c>
      <c r="G26" s="17"/>
      <c r="H26" s="11"/>
    </row>
    <row r="27">
      <c r="A27" s="15">
        <f>IF(OR(OFFSET('Inwentaryzacja'!$A$6,10,0)&lt;&gt;"",LEN($D27)&gt;0,LEN($E27)&gt;0),COUNT($A$18:$A26)+1,"")</f>
      </c>
      <c r="B27" s="15">
        <f>IF(OFFSET('Inwentaryzacja'!$A$6,10,0)&lt;&gt;"",OFFSET('Inwentaryzacja'!$A$6,10,0),IF(AND(ISNUMBER($A26),COUNT($A27:$A$517)=0),"Spis zakończono na pozycji "&amp;$A26,""))</f>
      </c>
      <c r="C27" s="15">
        <f>IF(OR(OFFSET('Inwentaryzacja'!$A$6,10,0)="",OFFSET('Inwentaryzacja'!$B$6,10,0)=""),"",OFFSET('Inwentaryzacja'!$B$6,10,0))</f>
      </c>
      <c r="D27" s="15">
        <f>IF(OR(OFFSET('Inwentaryzacja'!$A$6,10,0)="",OFFSET('Inwentaryzacja'!$D$6,10,0)=""),"",OFFSET('Inwentaryzacja'!$D$6,10,0))</f>
      </c>
      <c r="E27" s="17"/>
      <c r="F27" s="12">
        <f>IF(AND(ISNUMBER($D27),ISNUMBER($E27)),ROUND($D27*$E27,2),"")</f>
      </c>
      <c r="G27" s="17"/>
      <c r="H27" s="11"/>
    </row>
    <row r="28">
      <c r="A28" s="15">
        <f>IF(OR(OFFSET('Inwentaryzacja'!$A$6,11,0)&lt;&gt;"",LEN($D28)&gt;0,LEN($E28)&gt;0),COUNT($A$18:$A27)+1,"")</f>
      </c>
      <c r="B28" s="15">
        <f>IF(OFFSET('Inwentaryzacja'!$A$6,11,0)&lt;&gt;"",OFFSET('Inwentaryzacja'!$A$6,11,0),IF(AND(ISNUMBER($A27),COUNT($A28:$A$517)=0),"Spis zakończono na pozycji "&amp;$A27,""))</f>
      </c>
      <c r="C28" s="15">
        <f>IF(OR(OFFSET('Inwentaryzacja'!$A$6,11,0)="",OFFSET('Inwentaryzacja'!$B$6,11,0)=""),"",OFFSET('Inwentaryzacja'!$B$6,11,0))</f>
      </c>
      <c r="D28" s="15">
        <f>IF(OR(OFFSET('Inwentaryzacja'!$A$6,11,0)="",OFFSET('Inwentaryzacja'!$D$6,11,0)=""),"",OFFSET('Inwentaryzacja'!$D$6,11,0))</f>
      </c>
      <c r="E28" s="17"/>
      <c r="F28" s="12">
        <f>IF(AND(ISNUMBER($D28),ISNUMBER($E28)),ROUND($D28*$E28,2),"")</f>
      </c>
      <c r="G28" s="17"/>
      <c r="H28" s="11"/>
    </row>
    <row r="29">
      <c r="A29" s="15">
        <f>IF(OR(OFFSET('Inwentaryzacja'!$A$6,12,0)&lt;&gt;"",LEN($D29)&gt;0,LEN($E29)&gt;0),COUNT($A$18:$A28)+1,"")</f>
      </c>
      <c r="B29" s="15">
        <f>IF(OFFSET('Inwentaryzacja'!$A$6,12,0)&lt;&gt;"",OFFSET('Inwentaryzacja'!$A$6,12,0),IF(AND(ISNUMBER($A28),COUNT($A29:$A$517)=0),"Spis zakończono na pozycji "&amp;$A28,""))</f>
      </c>
      <c r="C29" s="15">
        <f>IF(OR(OFFSET('Inwentaryzacja'!$A$6,12,0)="",OFFSET('Inwentaryzacja'!$B$6,12,0)=""),"",OFFSET('Inwentaryzacja'!$B$6,12,0))</f>
      </c>
      <c r="D29" s="15">
        <f>IF(OR(OFFSET('Inwentaryzacja'!$A$6,12,0)="",OFFSET('Inwentaryzacja'!$D$6,12,0)=""),"",OFFSET('Inwentaryzacja'!$D$6,12,0))</f>
      </c>
      <c r="E29" s="17"/>
      <c r="F29" s="12">
        <f>IF(AND(ISNUMBER($D29),ISNUMBER($E29)),ROUND($D29*$E29,2),"")</f>
      </c>
      <c r="G29" s="17"/>
      <c r="H29" s="11"/>
    </row>
    <row r="30">
      <c r="A30" s="15">
        <f>IF(OR(OFFSET('Inwentaryzacja'!$A$6,13,0)&lt;&gt;"",LEN($D30)&gt;0,LEN($E30)&gt;0),COUNT($A$18:$A29)+1,"")</f>
      </c>
      <c r="B30" s="15">
        <f>IF(OFFSET('Inwentaryzacja'!$A$6,13,0)&lt;&gt;"",OFFSET('Inwentaryzacja'!$A$6,13,0),IF(AND(ISNUMBER($A29),COUNT($A30:$A$517)=0),"Spis zakończono na pozycji "&amp;$A29,""))</f>
      </c>
      <c r="C30" s="15">
        <f>IF(OR(OFFSET('Inwentaryzacja'!$A$6,13,0)="",OFFSET('Inwentaryzacja'!$B$6,13,0)=""),"",OFFSET('Inwentaryzacja'!$B$6,13,0))</f>
      </c>
      <c r="D30" s="15">
        <f>IF(OR(OFFSET('Inwentaryzacja'!$A$6,13,0)="",OFFSET('Inwentaryzacja'!$D$6,13,0)=""),"",OFFSET('Inwentaryzacja'!$D$6,13,0))</f>
      </c>
      <c r="E30" s="17"/>
      <c r="F30" s="12">
        <f>IF(AND(ISNUMBER($D30),ISNUMBER($E30)),ROUND($D30*$E30,2),"")</f>
      </c>
      <c r="G30" s="17"/>
      <c r="H30" s="11"/>
    </row>
    <row r="31">
      <c r="A31" s="15">
        <f>IF(OR(OFFSET('Inwentaryzacja'!$A$6,14,0)&lt;&gt;"",LEN($D31)&gt;0,LEN($E31)&gt;0),COUNT($A$18:$A30)+1,"")</f>
      </c>
      <c r="B31" s="15">
        <f>IF(OFFSET('Inwentaryzacja'!$A$6,14,0)&lt;&gt;"",OFFSET('Inwentaryzacja'!$A$6,14,0),IF(AND(ISNUMBER($A30),COUNT($A31:$A$517)=0),"Spis zakończono na pozycji "&amp;$A30,""))</f>
      </c>
      <c r="C31" s="15">
        <f>IF(OR(OFFSET('Inwentaryzacja'!$A$6,14,0)="",OFFSET('Inwentaryzacja'!$B$6,14,0)=""),"",OFFSET('Inwentaryzacja'!$B$6,14,0))</f>
      </c>
      <c r="D31" s="15">
        <f>IF(OR(OFFSET('Inwentaryzacja'!$A$6,14,0)="",OFFSET('Inwentaryzacja'!$D$6,14,0)=""),"",OFFSET('Inwentaryzacja'!$D$6,14,0))</f>
      </c>
      <c r="E31" s="17"/>
      <c r="F31" s="12">
        <f>IF(AND(ISNUMBER($D31),ISNUMBER($E31)),ROUND($D31*$E31,2),"")</f>
      </c>
      <c r="G31" s="17"/>
      <c r="H31" s="11"/>
    </row>
    <row r="32">
      <c r="A32" s="15">
        <f>IF(OR(OFFSET('Inwentaryzacja'!$A$6,15,0)&lt;&gt;"",LEN($D32)&gt;0,LEN($E32)&gt;0),COUNT($A$18:$A31)+1,"")</f>
      </c>
      <c r="B32" s="15">
        <f>IF(OFFSET('Inwentaryzacja'!$A$6,15,0)&lt;&gt;"",OFFSET('Inwentaryzacja'!$A$6,15,0),IF(AND(ISNUMBER($A31),COUNT($A32:$A$517)=0),"Spis zakończono na pozycji "&amp;$A31,""))</f>
      </c>
      <c r="C32" s="15">
        <f>IF(OR(OFFSET('Inwentaryzacja'!$A$6,15,0)="",OFFSET('Inwentaryzacja'!$B$6,15,0)=""),"",OFFSET('Inwentaryzacja'!$B$6,15,0))</f>
      </c>
      <c r="D32" s="15">
        <f>IF(OR(OFFSET('Inwentaryzacja'!$A$6,15,0)="",OFFSET('Inwentaryzacja'!$D$6,15,0)=""),"",OFFSET('Inwentaryzacja'!$D$6,15,0))</f>
      </c>
      <c r="E32" s="17"/>
      <c r="F32" s="12">
        <f>IF(AND(ISNUMBER($D32),ISNUMBER($E32)),ROUND($D32*$E32,2),"")</f>
      </c>
      <c r="G32" s="17"/>
      <c r="H32" s="11"/>
    </row>
    <row r="33">
      <c r="A33" s="15">
        <f>IF(OR(OFFSET('Inwentaryzacja'!$A$6,16,0)&lt;&gt;"",LEN($D33)&gt;0,LEN($E33)&gt;0),COUNT($A$18:$A32)+1,"")</f>
      </c>
      <c r="B33" s="15">
        <f>IF(OFFSET('Inwentaryzacja'!$A$6,16,0)&lt;&gt;"",OFFSET('Inwentaryzacja'!$A$6,16,0),IF(AND(ISNUMBER($A32),COUNT($A33:$A$517)=0),"Spis zakończono na pozycji "&amp;$A32,""))</f>
      </c>
      <c r="C33" s="15">
        <f>IF(OR(OFFSET('Inwentaryzacja'!$A$6,16,0)="",OFFSET('Inwentaryzacja'!$B$6,16,0)=""),"",OFFSET('Inwentaryzacja'!$B$6,16,0))</f>
      </c>
      <c r="D33" s="15">
        <f>IF(OR(OFFSET('Inwentaryzacja'!$A$6,16,0)="",OFFSET('Inwentaryzacja'!$D$6,16,0)=""),"",OFFSET('Inwentaryzacja'!$D$6,16,0))</f>
      </c>
      <c r="E33" s="17"/>
      <c r="F33" s="12">
        <f>IF(AND(ISNUMBER($D33),ISNUMBER($E33)),ROUND($D33*$E33,2),"")</f>
      </c>
      <c r="G33" s="17"/>
      <c r="H33" s="11"/>
    </row>
    <row r="34">
      <c r="A34" s="15">
        <f>IF(OR(OFFSET('Inwentaryzacja'!$A$6,17,0)&lt;&gt;"",LEN($D34)&gt;0,LEN($E34)&gt;0),COUNT($A$18:$A33)+1,"")</f>
      </c>
      <c r="B34" s="15">
        <f>IF(OFFSET('Inwentaryzacja'!$A$6,17,0)&lt;&gt;"",OFFSET('Inwentaryzacja'!$A$6,17,0),IF(AND(ISNUMBER($A33),COUNT($A34:$A$517)=0),"Spis zakończono na pozycji "&amp;$A33,""))</f>
      </c>
      <c r="C34" s="15">
        <f>IF(OR(OFFSET('Inwentaryzacja'!$A$6,17,0)="",OFFSET('Inwentaryzacja'!$B$6,17,0)=""),"",OFFSET('Inwentaryzacja'!$B$6,17,0))</f>
      </c>
      <c r="D34" s="15">
        <f>IF(OR(OFFSET('Inwentaryzacja'!$A$6,17,0)="",OFFSET('Inwentaryzacja'!$D$6,17,0)=""),"",OFFSET('Inwentaryzacja'!$D$6,17,0))</f>
      </c>
      <c r="E34" s="17"/>
      <c r="F34" s="12">
        <f>IF(AND(ISNUMBER($D34),ISNUMBER($E34)),ROUND($D34*$E34,2),"")</f>
      </c>
      <c r="G34" s="17"/>
      <c r="H34" s="11"/>
    </row>
    <row r="35">
      <c r="A35" s="15">
        <f>IF(OR(OFFSET('Inwentaryzacja'!$A$6,18,0)&lt;&gt;"",LEN($D35)&gt;0,LEN($E35)&gt;0),COUNT($A$18:$A34)+1,"")</f>
      </c>
      <c r="B35" s="15">
        <f>IF(OFFSET('Inwentaryzacja'!$A$6,18,0)&lt;&gt;"",OFFSET('Inwentaryzacja'!$A$6,18,0),IF(AND(ISNUMBER($A34),COUNT($A35:$A$517)=0),"Spis zakończono na pozycji "&amp;$A34,""))</f>
      </c>
      <c r="C35" s="15">
        <f>IF(OR(OFFSET('Inwentaryzacja'!$A$6,18,0)="",OFFSET('Inwentaryzacja'!$B$6,18,0)=""),"",OFFSET('Inwentaryzacja'!$B$6,18,0))</f>
      </c>
      <c r="D35" s="15">
        <f>IF(OR(OFFSET('Inwentaryzacja'!$A$6,18,0)="",OFFSET('Inwentaryzacja'!$D$6,18,0)=""),"",OFFSET('Inwentaryzacja'!$D$6,18,0))</f>
      </c>
      <c r="E35" s="17"/>
      <c r="F35" s="12">
        <f>IF(AND(ISNUMBER($D35),ISNUMBER($E35)),ROUND($D35*$E35,2),"")</f>
      </c>
      <c r="G35" s="17"/>
      <c r="H35" s="11"/>
    </row>
    <row r="36">
      <c r="A36" s="15">
        <f>IF(OR(OFFSET('Inwentaryzacja'!$A$6,19,0)&lt;&gt;"",LEN($D36)&gt;0,LEN($E36)&gt;0),COUNT($A$18:$A35)+1,"")</f>
      </c>
      <c r="B36" s="15">
        <f>IF(OFFSET('Inwentaryzacja'!$A$6,19,0)&lt;&gt;"",OFFSET('Inwentaryzacja'!$A$6,19,0),IF(AND(ISNUMBER($A35),COUNT($A36:$A$517)=0),"Spis zakończono na pozycji "&amp;$A35,""))</f>
      </c>
      <c r="C36" s="15">
        <f>IF(OR(OFFSET('Inwentaryzacja'!$A$6,19,0)="",OFFSET('Inwentaryzacja'!$B$6,19,0)=""),"",OFFSET('Inwentaryzacja'!$B$6,19,0))</f>
      </c>
      <c r="D36" s="15">
        <f>IF(OR(OFFSET('Inwentaryzacja'!$A$6,19,0)="",OFFSET('Inwentaryzacja'!$D$6,19,0)=""),"",OFFSET('Inwentaryzacja'!$D$6,19,0))</f>
      </c>
      <c r="E36" s="17"/>
      <c r="F36" s="12">
        <f>IF(AND(ISNUMBER($D36),ISNUMBER($E36)),ROUND($D36*$E36,2),"")</f>
      </c>
      <c r="G36" s="17"/>
      <c r="H36" s="11"/>
    </row>
    <row r="37">
      <c r="A37" s="15">
        <f>IF(OR(OFFSET('Inwentaryzacja'!$A$6,20,0)&lt;&gt;"",LEN($D37)&gt;0,LEN($E37)&gt;0),COUNT($A$18:$A36)+1,"")</f>
      </c>
      <c r="B37" s="15">
        <f>IF(OFFSET('Inwentaryzacja'!$A$6,20,0)&lt;&gt;"",OFFSET('Inwentaryzacja'!$A$6,20,0),IF(AND(ISNUMBER($A36),COUNT($A37:$A$517)=0),"Spis zakończono na pozycji "&amp;$A36,""))</f>
      </c>
      <c r="C37" s="15">
        <f>IF(OR(OFFSET('Inwentaryzacja'!$A$6,20,0)="",OFFSET('Inwentaryzacja'!$B$6,20,0)=""),"",OFFSET('Inwentaryzacja'!$B$6,20,0))</f>
      </c>
      <c r="D37" s="15">
        <f>IF(OR(OFFSET('Inwentaryzacja'!$A$6,20,0)="",OFFSET('Inwentaryzacja'!$D$6,20,0)=""),"",OFFSET('Inwentaryzacja'!$D$6,20,0))</f>
      </c>
      <c r="E37" s="17"/>
      <c r="F37" s="12">
        <f>IF(AND(ISNUMBER($D37),ISNUMBER($E37)),ROUND($D37*$E37,2),"")</f>
      </c>
      <c r="G37" s="17"/>
      <c r="H37" s="11"/>
    </row>
    <row r="38">
      <c r="A38" s="15">
        <f>IF(OR(OFFSET('Inwentaryzacja'!$A$6,21,0)&lt;&gt;"",LEN($D38)&gt;0,LEN($E38)&gt;0),COUNT($A$18:$A37)+1,"")</f>
      </c>
      <c r="B38" s="15">
        <f>IF(OFFSET('Inwentaryzacja'!$A$6,21,0)&lt;&gt;"",OFFSET('Inwentaryzacja'!$A$6,21,0),IF(AND(ISNUMBER($A37),COUNT($A38:$A$517)=0),"Spis zakończono na pozycji "&amp;$A37,""))</f>
      </c>
      <c r="C38" s="15">
        <f>IF(OR(OFFSET('Inwentaryzacja'!$A$6,21,0)="",OFFSET('Inwentaryzacja'!$B$6,21,0)=""),"",OFFSET('Inwentaryzacja'!$B$6,21,0))</f>
      </c>
      <c r="D38" s="15">
        <f>IF(OR(OFFSET('Inwentaryzacja'!$A$6,21,0)="",OFFSET('Inwentaryzacja'!$D$6,21,0)=""),"",OFFSET('Inwentaryzacja'!$D$6,21,0))</f>
      </c>
      <c r="E38" s="17"/>
      <c r="F38" s="12">
        <f>IF(AND(ISNUMBER($D38),ISNUMBER($E38)),ROUND($D38*$E38,2),"")</f>
      </c>
      <c r="G38" s="17"/>
      <c r="H38" s="11"/>
    </row>
    <row r="39">
      <c r="A39" s="15">
        <f>IF(OR(OFFSET('Inwentaryzacja'!$A$6,22,0)&lt;&gt;"",LEN($D39)&gt;0,LEN($E39)&gt;0),COUNT($A$18:$A38)+1,"")</f>
      </c>
      <c r="B39" s="15">
        <f>IF(OFFSET('Inwentaryzacja'!$A$6,22,0)&lt;&gt;"",OFFSET('Inwentaryzacja'!$A$6,22,0),IF(AND(ISNUMBER($A38),COUNT($A39:$A$517)=0),"Spis zakończono na pozycji "&amp;$A38,""))</f>
      </c>
      <c r="C39" s="15">
        <f>IF(OR(OFFSET('Inwentaryzacja'!$A$6,22,0)="",OFFSET('Inwentaryzacja'!$B$6,22,0)=""),"",OFFSET('Inwentaryzacja'!$B$6,22,0))</f>
      </c>
      <c r="D39" s="15">
        <f>IF(OR(OFFSET('Inwentaryzacja'!$A$6,22,0)="",OFFSET('Inwentaryzacja'!$D$6,22,0)=""),"",OFFSET('Inwentaryzacja'!$D$6,22,0))</f>
      </c>
      <c r="E39" s="17"/>
      <c r="F39" s="12">
        <f>IF(AND(ISNUMBER($D39),ISNUMBER($E39)),ROUND($D39*$E39,2),"")</f>
      </c>
      <c r="G39" s="17"/>
      <c r="H39" s="11"/>
    </row>
    <row r="40">
      <c r="A40" s="15">
        <f>IF(OR(OFFSET('Inwentaryzacja'!$A$6,23,0)&lt;&gt;"",LEN($D40)&gt;0,LEN($E40)&gt;0),COUNT($A$18:$A39)+1,"")</f>
      </c>
      <c r="B40" s="15">
        <f>IF(OFFSET('Inwentaryzacja'!$A$6,23,0)&lt;&gt;"",OFFSET('Inwentaryzacja'!$A$6,23,0),IF(AND(ISNUMBER($A39),COUNT($A40:$A$517)=0),"Spis zakończono na pozycji "&amp;$A39,""))</f>
      </c>
      <c r="C40" s="15">
        <f>IF(OR(OFFSET('Inwentaryzacja'!$A$6,23,0)="",OFFSET('Inwentaryzacja'!$B$6,23,0)=""),"",OFFSET('Inwentaryzacja'!$B$6,23,0))</f>
      </c>
      <c r="D40" s="15">
        <f>IF(OR(OFFSET('Inwentaryzacja'!$A$6,23,0)="",OFFSET('Inwentaryzacja'!$D$6,23,0)=""),"",OFFSET('Inwentaryzacja'!$D$6,23,0))</f>
      </c>
      <c r="E40" s="17"/>
      <c r="F40" s="12">
        <f>IF(AND(ISNUMBER($D40),ISNUMBER($E40)),ROUND($D40*$E40,2),"")</f>
      </c>
      <c r="G40" s="17"/>
      <c r="H40" s="11"/>
    </row>
    <row r="41">
      <c r="A41" s="15">
        <f>IF(OR(OFFSET('Inwentaryzacja'!$A$6,24,0)&lt;&gt;"",LEN($D41)&gt;0,LEN($E41)&gt;0),COUNT($A$18:$A40)+1,"")</f>
      </c>
      <c r="B41" s="15">
        <f>IF(OFFSET('Inwentaryzacja'!$A$6,24,0)&lt;&gt;"",OFFSET('Inwentaryzacja'!$A$6,24,0),IF(AND(ISNUMBER($A40),COUNT($A41:$A$517)=0),"Spis zakończono na pozycji "&amp;$A40,""))</f>
      </c>
      <c r="C41" s="15">
        <f>IF(OR(OFFSET('Inwentaryzacja'!$A$6,24,0)="",OFFSET('Inwentaryzacja'!$B$6,24,0)=""),"",OFFSET('Inwentaryzacja'!$B$6,24,0))</f>
      </c>
      <c r="D41" s="15">
        <f>IF(OR(OFFSET('Inwentaryzacja'!$A$6,24,0)="",OFFSET('Inwentaryzacja'!$D$6,24,0)=""),"",OFFSET('Inwentaryzacja'!$D$6,24,0))</f>
      </c>
      <c r="E41" s="17"/>
      <c r="F41" s="12">
        <f>IF(AND(ISNUMBER($D41),ISNUMBER($E41)),ROUND($D41*$E41,2),"")</f>
      </c>
      <c r="G41" s="17"/>
      <c r="H41" s="11"/>
    </row>
    <row r="42">
      <c r="A42" s="15">
        <f>IF(OR(OFFSET('Inwentaryzacja'!$A$6,25,0)&lt;&gt;"",LEN($D42)&gt;0,LEN($E42)&gt;0),COUNT($A$18:$A41)+1,"")</f>
      </c>
      <c r="B42" s="15">
        <f>IF(OFFSET('Inwentaryzacja'!$A$6,25,0)&lt;&gt;"",OFFSET('Inwentaryzacja'!$A$6,25,0),IF(AND(ISNUMBER($A41),COUNT($A42:$A$517)=0),"Spis zakończono na pozycji "&amp;$A41,""))</f>
      </c>
      <c r="C42" s="15">
        <f>IF(OR(OFFSET('Inwentaryzacja'!$A$6,25,0)="",OFFSET('Inwentaryzacja'!$B$6,25,0)=""),"",OFFSET('Inwentaryzacja'!$B$6,25,0))</f>
      </c>
      <c r="D42" s="15">
        <f>IF(OR(OFFSET('Inwentaryzacja'!$A$6,25,0)="",OFFSET('Inwentaryzacja'!$D$6,25,0)=""),"",OFFSET('Inwentaryzacja'!$D$6,25,0))</f>
      </c>
      <c r="E42" s="17"/>
      <c r="F42" s="12">
        <f>IF(AND(ISNUMBER($D42),ISNUMBER($E42)),ROUND($D42*$E42,2),"")</f>
      </c>
      <c r="G42" s="17"/>
      <c r="H42" s="11"/>
    </row>
    <row r="43">
      <c r="A43" s="15">
        <f>IF(OR(OFFSET('Inwentaryzacja'!$A$6,26,0)&lt;&gt;"",LEN($D43)&gt;0,LEN($E43)&gt;0),COUNT($A$18:$A42)+1,"")</f>
      </c>
      <c r="B43" s="15">
        <f>IF(OFFSET('Inwentaryzacja'!$A$6,26,0)&lt;&gt;"",OFFSET('Inwentaryzacja'!$A$6,26,0),IF(AND(ISNUMBER($A42),COUNT($A43:$A$517)=0),"Spis zakończono na pozycji "&amp;$A42,""))</f>
      </c>
      <c r="C43" s="15">
        <f>IF(OR(OFFSET('Inwentaryzacja'!$A$6,26,0)="",OFFSET('Inwentaryzacja'!$B$6,26,0)=""),"",OFFSET('Inwentaryzacja'!$B$6,26,0))</f>
      </c>
      <c r="D43" s="15">
        <f>IF(OR(OFFSET('Inwentaryzacja'!$A$6,26,0)="",OFFSET('Inwentaryzacja'!$D$6,26,0)=""),"",OFFSET('Inwentaryzacja'!$D$6,26,0))</f>
      </c>
      <c r="E43" s="17"/>
      <c r="F43" s="12">
        <f>IF(AND(ISNUMBER($D43),ISNUMBER($E43)),ROUND($D43*$E43,2),"")</f>
      </c>
      <c r="G43" s="17"/>
      <c r="H43" s="11"/>
    </row>
    <row r="44">
      <c r="A44" s="15">
        <f>IF(OR(OFFSET('Inwentaryzacja'!$A$6,27,0)&lt;&gt;"",LEN($D44)&gt;0,LEN($E44)&gt;0),COUNT($A$18:$A43)+1,"")</f>
      </c>
      <c r="B44" s="15">
        <f>IF(OFFSET('Inwentaryzacja'!$A$6,27,0)&lt;&gt;"",OFFSET('Inwentaryzacja'!$A$6,27,0),IF(AND(ISNUMBER($A43),COUNT($A44:$A$517)=0),"Spis zakończono na pozycji "&amp;$A43,""))</f>
      </c>
      <c r="C44" s="15">
        <f>IF(OR(OFFSET('Inwentaryzacja'!$A$6,27,0)="",OFFSET('Inwentaryzacja'!$B$6,27,0)=""),"",OFFSET('Inwentaryzacja'!$B$6,27,0))</f>
      </c>
      <c r="D44" s="15">
        <f>IF(OR(OFFSET('Inwentaryzacja'!$A$6,27,0)="",OFFSET('Inwentaryzacja'!$D$6,27,0)=""),"",OFFSET('Inwentaryzacja'!$D$6,27,0))</f>
      </c>
      <c r="E44" s="17"/>
      <c r="F44" s="12">
        <f>IF(AND(ISNUMBER($D44),ISNUMBER($E44)),ROUND($D44*$E44,2),"")</f>
      </c>
      <c r="G44" s="17"/>
      <c r="H44" s="11"/>
    </row>
    <row r="45">
      <c r="A45" s="15">
        <f>IF(OR(OFFSET('Inwentaryzacja'!$A$6,28,0)&lt;&gt;"",LEN($D45)&gt;0,LEN($E45)&gt;0),COUNT($A$18:$A44)+1,"")</f>
      </c>
      <c r="B45" s="15">
        <f>IF(OFFSET('Inwentaryzacja'!$A$6,28,0)&lt;&gt;"",OFFSET('Inwentaryzacja'!$A$6,28,0),IF(AND(ISNUMBER($A44),COUNT($A45:$A$517)=0),"Spis zakończono na pozycji "&amp;$A44,""))</f>
      </c>
      <c r="C45" s="15">
        <f>IF(OR(OFFSET('Inwentaryzacja'!$A$6,28,0)="",OFFSET('Inwentaryzacja'!$B$6,28,0)=""),"",OFFSET('Inwentaryzacja'!$B$6,28,0))</f>
      </c>
      <c r="D45" s="15">
        <f>IF(OR(OFFSET('Inwentaryzacja'!$A$6,28,0)="",OFFSET('Inwentaryzacja'!$D$6,28,0)=""),"",OFFSET('Inwentaryzacja'!$D$6,28,0))</f>
      </c>
      <c r="E45" s="17"/>
      <c r="F45" s="12">
        <f>IF(AND(ISNUMBER($D45),ISNUMBER($E45)),ROUND($D45*$E45,2),"")</f>
      </c>
      <c r="G45" s="17"/>
      <c r="H45" s="11"/>
    </row>
    <row r="46">
      <c r="A46" s="15">
        <f>IF(OR(OFFSET('Inwentaryzacja'!$A$6,29,0)&lt;&gt;"",LEN($D46)&gt;0,LEN($E46)&gt;0),COUNT($A$18:$A45)+1,"")</f>
      </c>
      <c r="B46" s="15">
        <f>IF(OFFSET('Inwentaryzacja'!$A$6,29,0)&lt;&gt;"",OFFSET('Inwentaryzacja'!$A$6,29,0),IF(AND(ISNUMBER($A45),COUNT($A46:$A$517)=0),"Spis zakończono na pozycji "&amp;$A45,""))</f>
      </c>
      <c r="C46" s="15">
        <f>IF(OR(OFFSET('Inwentaryzacja'!$A$6,29,0)="",OFFSET('Inwentaryzacja'!$B$6,29,0)=""),"",OFFSET('Inwentaryzacja'!$B$6,29,0))</f>
      </c>
      <c r="D46" s="15">
        <f>IF(OR(OFFSET('Inwentaryzacja'!$A$6,29,0)="",OFFSET('Inwentaryzacja'!$D$6,29,0)=""),"",OFFSET('Inwentaryzacja'!$D$6,29,0))</f>
      </c>
      <c r="E46" s="17"/>
      <c r="F46" s="12">
        <f>IF(AND(ISNUMBER($D46),ISNUMBER($E46)),ROUND($D46*$E46,2),"")</f>
      </c>
      <c r="G46" s="17"/>
      <c r="H46" s="11"/>
    </row>
    <row r="47">
      <c r="A47" s="15">
        <f>IF(OR(OFFSET('Inwentaryzacja'!$A$6,30,0)&lt;&gt;"",LEN($D47)&gt;0,LEN($E47)&gt;0),COUNT($A$18:$A46)+1,"")</f>
      </c>
      <c r="B47" s="15">
        <f>IF(OFFSET('Inwentaryzacja'!$A$6,30,0)&lt;&gt;"",OFFSET('Inwentaryzacja'!$A$6,30,0),IF(AND(ISNUMBER($A46),COUNT($A47:$A$517)=0),"Spis zakończono na pozycji "&amp;$A46,""))</f>
      </c>
      <c r="C47" s="15">
        <f>IF(OR(OFFSET('Inwentaryzacja'!$A$6,30,0)="",OFFSET('Inwentaryzacja'!$B$6,30,0)=""),"",OFFSET('Inwentaryzacja'!$B$6,30,0))</f>
      </c>
      <c r="D47" s="15">
        <f>IF(OR(OFFSET('Inwentaryzacja'!$A$6,30,0)="",OFFSET('Inwentaryzacja'!$D$6,30,0)=""),"",OFFSET('Inwentaryzacja'!$D$6,30,0))</f>
      </c>
      <c r="E47" s="17"/>
      <c r="F47" s="12">
        <f>IF(AND(ISNUMBER($D47),ISNUMBER($E47)),ROUND($D47*$E47,2),"")</f>
      </c>
      <c r="G47" s="17"/>
      <c r="H47" s="11"/>
    </row>
    <row r="48">
      <c r="A48" s="7">
        <f>IF(OR(OFFSET('Inwentaryzacja'!$A$6,31,0)&lt;&gt;"",LEN($D48)&gt;0,LEN($E48)&gt;0),COUNT($A$18:$A47)+1,"")</f>
      </c>
      <c r="B48" s="7">
        <f>IF(OFFSET('Inwentaryzacja'!$A$6,31,0)&lt;&gt;"",OFFSET('Inwentaryzacja'!$A$6,31,0),IF(AND(ISNUMBER($A47),COUNT($A48:$A$517)=0),"Spis zakończono na pozycji "&amp;$A47,""))</f>
      </c>
      <c r="C48" s="7">
        <f>IF(OR(OFFSET('Inwentaryzacja'!$A$6,31,0)="",OFFSET('Inwentaryzacja'!$B$6,31,0)=""),"",OFFSET('Inwentaryzacja'!$B$6,31,0))</f>
      </c>
      <c r="D48" s="7">
        <f>IF(OR(OFFSET('Inwentaryzacja'!$A$6,31,0)="",OFFSET('Inwentaryzacja'!$D$6,31,0)=""),"",OFFSET('Inwentaryzacja'!$D$6,31,0))</f>
      </c>
      <c r="F48" s="8">
        <f>IF(AND(ISNUMBER($D48),ISNUMBER($E48)),ROUND($D48*$E48,2),"")</f>
      </c>
    </row>
    <row r="49">
      <c r="A49" s="7">
        <f>IF(OR(OFFSET('Inwentaryzacja'!$A$6,32,0)&lt;&gt;"",LEN($D49)&gt;0,LEN($E49)&gt;0),COUNT($A$18:$A48)+1,"")</f>
      </c>
      <c r="B49" s="7">
        <f>IF(OFFSET('Inwentaryzacja'!$A$6,32,0)&lt;&gt;"",OFFSET('Inwentaryzacja'!$A$6,32,0),IF(AND(ISNUMBER($A48),COUNT($A49:$A$517)=0),"Spis zakończono na pozycji "&amp;$A48,""))</f>
      </c>
      <c r="C49" s="7">
        <f>IF(OR(OFFSET('Inwentaryzacja'!$A$6,32,0)="",OFFSET('Inwentaryzacja'!$B$6,32,0)=""),"",OFFSET('Inwentaryzacja'!$B$6,32,0))</f>
      </c>
      <c r="D49" s="7">
        <f>IF(OR(OFFSET('Inwentaryzacja'!$A$6,32,0)="",OFFSET('Inwentaryzacja'!$D$6,32,0)=""),"",OFFSET('Inwentaryzacja'!$D$6,32,0))</f>
      </c>
      <c r="F49" s="8">
        <f>IF(AND(ISNUMBER($D49),ISNUMBER($E49)),ROUND($D49*$E49,2),"")</f>
      </c>
    </row>
    <row r="50">
      <c r="A50" s="7">
        <f>IF(OR(OFFSET('Inwentaryzacja'!$A$6,33,0)&lt;&gt;"",LEN($D50)&gt;0,LEN($E50)&gt;0),COUNT($A$18:$A49)+1,"")</f>
      </c>
      <c r="B50" s="7">
        <f>IF(OFFSET('Inwentaryzacja'!$A$6,33,0)&lt;&gt;"",OFFSET('Inwentaryzacja'!$A$6,33,0),IF(AND(ISNUMBER($A49),COUNT($A50:$A$517)=0),"Spis zakończono na pozycji "&amp;$A49,""))</f>
      </c>
      <c r="C50" s="7">
        <f>IF(OR(OFFSET('Inwentaryzacja'!$A$6,33,0)="",OFFSET('Inwentaryzacja'!$B$6,33,0)=""),"",OFFSET('Inwentaryzacja'!$B$6,33,0))</f>
      </c>
      <c r="D50" s="7">
        <f>IF(OR(OFFSET('Inwentaryzacja'!$A$6,33,0)="",OFFSET('Inwentaryzacja'!$D$6,33,0)=""),"",OFFSET('Inwentaryzacja'!$D$6,33,0))</f>
      </c>
      <c r="F50" s="8">
        <f>IF(AND(ISNUMBER($D50),ISNUMBER($E50)),ROUND($D50*$E50,2),"")</f>
      </c>
    </row>
    <row r="51">
      <c r="A51" s="7">
        <f>IF(OR(OFFSET('Inwentaryzacja'!$A$6,34,0)&lt;&gt;"",LEN($D51)&gt;0,LEN($E51)&gt;0),COUNT($A$18:$A50)+1,"")</f>
      </c>
      <c r="B51" s="7">
        <f>IF(OFFSET('Inwentaryzacja'!$A$6,34,0)&lt;&gt;"",OFFSET('Inwentaryzacja'!$A$6,34,0),IF(AND(ISNUMBER($A50),COUNT($A51:$A$517)=0),"Spis zakończono na pozycji "&amp;$A50,""))</f>
      </c>
      <c r="C51" s="7">
        <f>IF(OR(OFFSET('Inwentaryzacja'!$A$6,34,0)="",OFFSET('Inwentaryzacja'!$B$6,34,0)=""),"",OFFSET('Inwentaryzacja'!$B$6,34,0))</f>
      </c>
      <c r="D51" s="7">
        <f>IF(OR(OFFSET('Inwentaryzacja'!$A$6,34,0)="",OFFSET('Inwentaryzacja'!$D$6,34,0)=""),"",OFFSET('Inwentaryzacja'!$D$6,34,0))</f>
      </c>
      <c r="F51" s="8">
        <f>IF(AND(ISNUMBER($D51),ISNUMBER($E51)),ROUND($D51*$E51,2),"")</f>
      </c>
    </row>
    <row r="52">
      <c r="A52" s="7">
        <f>IF(OR(OFFSET('Inwentaryzacja'!$A$6,35,0)&lt;&gt;"",LEN($D52)&gt;0,LEN($E52)&gt;0),COUNT($A$18:$A51)+1,"")</f>
      </c>
      <c r="B52" s="7">
        <f>IF(OFFSET('Inwentaryzacja'!$A$6,35,0)&lt;&gt;"",OFFSET('Inwentaryzacja'!$A$6,35,0),IF(AND(ISNUMBER($A51),COUNT($A52:$A$517)=0),"Spis zakończono na pozycji "&amp;$A51,""))</f>
      </c>
      <c r="C52" s="7">
        <f>IF(OR(OFFSET('Inwentaryzacja'!$A$6,35,0)="",OFFSET('Inwentaryzacja'!$B$6,35,0)=""),"",OFFSET('Inwentaryzacja'!$B$6,35,0))</f>
      </c>
      <c r="D52" s="7">
        <f>IF(OR(OFFSET('Inwentaryzacja'!$A$6,35,0)="",OFFSET('Inwentaryzacja'!$D$6,35,0)=""),"",OFFSET('Inwentaryzacja'!$D$6,35,0))</f>
      </c>
      <c r="F52" s="8">
        <f>IF(AND(ISNUMBER($D52),ISNUMBER($E52)),ROUND($D52*$E52,2),"")</f>
      </c>
    </row>
    <row r="53">
      <c r="A53" s="7">
        <f>IF(OR(OFFSET('Inwentaryzacja'!$A$6,36,0)&lt;&gt;"",LEN($D53)&gt;0,LEN($E53)&gt;0),COUNT($A$18:$A52)+1,"")</f>
      </c>
      <c r="B53" s="7">
        <f>IF(OFFSET('Inwentaryzacja'!$A$6,36,0)&lt;&gt;"",OFFSET('Inwentaryzacja'!$A$6,36,0),IF(AND(ISNUMBER($A52),COUNT($A53:$A$517)=0),"Spis zakończono na pozycji "&amp;$A52,""))</f>
      </c>
      <c r="C53" s="7">
        <f>IF(OR(OFFSET('Inwentaryzacja'!$A$6,36,0)="",OFFSET('Inwentaryzacja'!$B$6,36,0)=""),"",OFFSET('Inwentaryzacja'!$B$6,36,0))</f>
      </c>
      <c r="D53" s="7">
        <f>IF(OR(OFFSET('Inwentaryzacja'!$A$6,36,0)="",OFFSET('Inwentaryzacja'!$D$6,36,0)=""),"",OFFSET('Inwentaryzacja'!$D$6,36,0))</f>
      </c>
      <c r="F53" s="8">
        <f>IF(AND(ISNUMBER($D53),ISNUMBER($E53)),ROUND($D53*$E53,2),"")</f>
      </c>
    </row>
    <row r="54">
      <c r="A54" s="7">
        <f>IF(OR(OFFSET('Inwentaryzacja'!$A$6,37,0)&lt;&gt;"",LEN($D54)&gt;0,LEN($E54)&gt;0),COUNT($A$18:$A53)+1,"")</f>
      </c>
      <c r="B54" s="7">
        <f>IF(OFFSET('Inwentaryzacja'!$A$6,37,0)&lt;&gt;"",OFFSET('Inwentaryzacja'!$A$6,37,0),IF(AND(ISNUMBER($A53),COUNT($A54:$A$517)=0),"Spis zakończono na pozycji "&amp;$A53,""))</f>
      </c>
      <c r="C54" s="7">
        <f>IF(OR(OFFSET('Inwentaryzacja'!$A$6,37,0)="",OFFSET('Inwentaryzacja'!$B$6,37,0)=""),"",OFFSET('Inwentaryzacja'!$B$6,37,0))</f>
      </c>
      <c r="D54" s="7">
        <f>IF(OR(OFFSET('Inwentaryzacja'!$A$6,37,0)="",OFFSET('Inwentaryzacja'!$D$6,37,0)=""),"",OFFSET('Inwentaryzacja'!$D$6,37,0))</f>
      </c>
      <c r="F54" s="8">
        <f>IF(AND(ISNUMBER($D54),ISNUMBER($E54)),ROUND($D54*$E54,2),"")</f>
      </c>
    </row>
    <row r="55">
      <c r="A55" s="7">
        <f>IF(OR(OFFSET('Inwentaryzacja'!$A$6,38,0)&lt;&gt;"",LEN($D55)&gt;0,LEN($E55)&gt;0),COUNT($A$18:$A54)+1,"")</f>
      </c>
      <c r="B55" s="7">
        <f>IF(OFFSET('Inwentaryzacja'!$A$6,38,0)&lt;&gt;"",OFFSET('Inwentaryzacja'!$A$6,38,0),IF(AND(ISNUMBER($A54),COUNT($A55:$A$517)=0),"Spis zakończono na pozycji "&amp;$A54,""))</f>
      </c>
      <c r="C55" s="7">
        <f>IF(OR(OFFSET('Inwentaryzacja'!$A$6,38,0)="",OFFSET('Inwentaryzacja'!$B$6,38,0)=""),"",OFFSET('Inwentaryzacja'!$B$6,38,0))</f>
      </c>
      <c r="D55" s="7">
        <f>IF(OR(OFFSET('Inwentaryzacja'!$A$6,38,0)="",OFFSET('Inwentaryzacja'!$D$6,38,0)=""),"",OFFSET('Inwentaryzacja'!$D$6,38,0))</f>
      </c>
      <c r="F55" s="8">
        <f>IF(AND(ISNUMBER($D55),ISNUMBER($E55)),ROUND($D55*$E55,2),"")</f>
      </c>
    </row>
    <row r="56">
      <c r="A56" s="7">
        <f>IF(OR(OFFSET('Inwentaryzacja'!$A$6,39,0)&lt;&gt;"",LEN($D56)&gt;0,LEN($E56)&gt;0),COUNT($A$18:$A55)+1,"")</f>
      </c>
      <c r="B56" s="7">
        <f>IF(OFFSET('Inwentaryzacja'!$A$6,39,0)&lt;&gt;"",OFFSET('Inwentaryzacja'!$A$6,39,0),IF(AND(ISNUMBER($A55),COUNT($A56:$A$517)=0),"Spis zakończono na pozycji "&amp;$A55,""))</f>
      </c>
      <c r="C56" s="7">
        <f>IF(OR(OFFSET('Inwentaryzacja'!$A$6,39,0)="",OFFSET('Inwentaryzacja'!$B$6,39,0)=""),"",OFFSET('Inwentaryzacja'!$B$6,39,0))</f>
      </c>
      <c r="D56" s="7">
        <f>IF(OR(OFFSET('Inwentaryzacja'!$A$6,39,0)="",OFFSET('Inwentaryzacja'!$D$6,39,0)=""),"",OFFSET('Inwentaryzacja'!$D$6,39,0))</f>
      </c>
      <c r="F56" s="8">
        <f>IF(AND(ISNUMBER($D56),ISNUMBER($E56)),ROUND($D56*$E56,2),"")</f>
      </c>
    </row>
    <row r="57">
      <c r="A57" s="7">
        <f>IF(OR(OFFSET('Inwentaryzacja'!$A$6,40,0)&lt;&gt;"",LEN($D57)&gt;0,LEN($E57)&gt;0),COUNT($A$18:$A56)+1,"")</f>
      </c>
      <c r="B57" s="7">
        <f>IF(OFFSET('Inwentaryzacja'!$A$6,40,0)&lt;&gt;"",OFFSET('Inwentaryzacja'!$A$6,40,0),IF(AND(ISNUMBER($A56),COUNT($A57:$A$517)=0),"Spis zakończono na pozycji "&amp;$A56,""))</f>
      </c>
      <c r="C57" s="7">
        <f>IF(OR(OFFSET('Inwentaryzacja'!$A$6,40,0)="",OFFSET('Inwentaryzacja'!$B$6,40,0)=""),"",OFFSET('Inwentaryzacja'!$B$6,40,0))</f>
      </c>
      <c r="D57" s="7">
        <f>IF(OR(OFFSET('Inwentaryzacja'!$A$6,40,0)="",OFFSET('Inwentaryzacja'!$D$6,40,0)=""),"",OFFSET('Inwentaryzacja'!$D$6,40,0))</f>
      </c>
      <c r="F57" s="8">
        <f>IF(AND(ISNUMBER($D57),ISNUMBER($E57)),ROUND($D57*$E57,2),"")</f>
      </c>
    </row>
    <row r="58">
      <c r="A58" s="7">
        <f>IF(OR(OFFSET('Inwentaryzacja'!$A$6,41,0)&lt;&gt;"",LEN($D58)&gt;0,LEN($E58)&gt;0),COUNT($A$18:$A57)+1,"")</f>
      </c>
      <c r="B58" s="7">
        <f>IF(OFFSET('Inwentaryzacja'!$A$6,41,0)&lt;&gt;"",OFFSET('Inwentaryzacja'!$A$6,41,0),IF(AND(ISNUMBER($A57),COUNT($A58:$A$517)=0),"Spis zakończono na pozycji "&amp;$A57,""))</f>
      </c>
      <c r="C58" s="7">
        <f>IF(OR(OFFSET('Inwentaryzacja'!$A$6,41,0)="",OFFSET('Inwentaryzacja'!$B$6,41,0)=""),"",OFFSET('Inwentaryzacja'!$B$6,41,0))</f>
      </c>
      <c r="D58" s="7">
        <f>IF(OR(OFFSET('Inwentaryzacja'!$A$6,41,0)="",OFFSET('Inwentaryzacja'!$D$6,41,0)=""),"",OFFSET('Inwentaryzacja'!$D$6,41,0))</f>
      </c>
      <c r="F58" s="8">
        <f>IF(AND(ISNUMBER($D58),ISNUMBER($E58)),ROUND($D58*$E58,2),"")</f>
      </c>
    </row>
    <row r="59">
      <c r="A59" s="7">
        <f>IF(OR(OFFSET('Inwentaryzacja'!$A$6,42,0)&lt;&gt;"",LEN($D59)&gt;0,LEN($E59)&gt;0),COUNT($A$18:$A58)+1,"")</f>
      </c>
      <c r="B59" s="7">
        <f>IF(OFFSET('Inwentaryzacja'!$A$6,42,0)&lt;&gt;"",OFFSET('Inwentaryzacja'!$A$6,42,0),IF(AND(ISNUMBER($A58),COUNT($A59:$A$517)=0),"Spis zakończono na pozycji "&amp;$A58,""))</f>
      </c>
      <c r="C59" s="7">
        <f>IF(OR(OFFSET('Inwentaryzacja'!$A$6,42,0)="",OFFSET('Inwentaryzacja'!$B$6,42,0)=""),"",OFFSET('Inwentaryzacja'!$B$6,42,0))</f>
      </c>
      <c r="D59" s="7">
        <f>IF(OR(OFFSET('Inwentaryzacja'!$A$6,42,0)="",OFFSET('Inwentaryzacja'!$D$6,42,0)=""),"",OFFSET('Inwentaryzacja'!$D$6,42,0))</f>
      </c>
      <c r="F59" s="8">
        <f>IF(AND(ISNUMBER($D59),ISNUMBER($E59)),ROUND($D59*$E59,2),"")</f>
      </c>
    </row>
    <row r="60">
      <c r="A60" s="7">
        <f>IF(OR(OFFSET('Inwentaryzacja'!$A$6,43,0)&lt;&gt;"",LEN($D60)&gt;0,LEN($E60)&gt;0),COUNT($A$18:$A59)+1,"")</f>
      </c>
      <c r="B60" s="7">
        <f>IF(OFFSET('Inwentaryzacja'!$A$6,43,0)&lt;&gt;"",OFFSET('Inwentaryzacja'!$A$6,43,0),IF(AND(ISNUMBER($A59),COUNT($A60:$A$517)=0),"Spis zakończono na pozycji "&amp;$A59,""))</f>
      </c>
      <c r="C60" s="7">
        <f>IF(OR(OFFSET('Inwentaryzacja'!$A$6,43,0)="",OFFSET('Inwentaryzacja'!$B$6,43,0)=""),"",OFFSET('Inwentaryzacja'!$B$6,43,0))</f>
      </c>
      <c r="D60" s="7">
        <f>IF(OR(OFFSET('Inwentaryzacja'!$A$6,43,0)="",OFFSET('Inwentaryzacja'!$D$6,43,0)=""),"",OFFSET('Inwentaryzacja'!$D$6,43,0))</f>
      </c>
      <c r="F60" s="8">
        <f>IF(AND(ISNUMBER($D60),ISNUMBER($E60)),ROUND($D60*$E60,2),"")</f>
      </c>
    </row>
    <row r="61">
      <c r="A61" s="7">
        <f>IF(OR(OFFSET('Inwentaryzacja'!$A$6,44,0)&lt;&gt;"",LEN($D61)&gt;0,LEN($E61)&gt;0),COUNT($A$18:$A60)+1,"")</f>
      </c>
      <c r="B61" s="7">
        <f>IF(OFFSET('Inwentaryzacja'!$A$6,44,0)&lt;&gt;"",OFFSET('Inwentaryzacja'!$A$6,44,0),IF(AND(ISNUMBER($A60),COUNT($A61:$A$517)=0),"Spis zakończono na pozycji "&amp;$A60,""))</f>
      </c>
      <c r="C61" s="7">
        <f>IF(OR(OFFSET('Inwentaryzacja'!$A$6,44,0)="",OFFSET('Inwentaryzacja'!$B$6,44,0)=""),"",OFFSET('Inwentaryzacja'!$B$6,44,0))</f>
      </c>
      <c r="D61" s="7">
        <f>IF(OR(OFFSET('Inwentaryzacja'!$A$6,44,0)="",OFFSET('Inwentaryzacja'!$D$6,44,0)=""),"",OFFSET('Inwentaryzacja'!$D$6,44,0))</f>
      </c>
      <c r="F61" s="8">
        <f>IF(AND(ISNUMBER($D61),ISNUMBER($E61)),ROUND($D61*$E61,2),"")</f>
      </c>
    </row>
    <row r="62">
      <c r="A62" s="7">
        <f>IF(OR(OFFSET('Inwentaryzacja'!$A$6,45,0)&lt;&gt;"",LEN($D62)&gt;0,LEN($E62)&gt;0),COUNT($A$18:$A61)+1,"")</f>
      </c>
      <c r="B62" s="7">
        <f>IF(OFFSET('Inwentaryzacja'!$A$6,45,0)&lt;&gt;"",OFFSET('Inwentaryzacja'!$A$6,45,0),IF(AND(ISNUMBER($A61),COUNT($A62:$A$517)=0),"Spis zakończono na pozycji "&amp;$A61,""))</f>
      </c>
      <c r="C62" s="7">
        <f>IF(OR(OFFSET('Inwentaryzacja'!$A$6,45,0)="",OFFSET('Inwentaryzacja'!$B$6,45,0)=""),"",OFFSET('Inwentaryzacja'!$B$6,45,0))</f>
      </c>
      <c r="D62" s="7">
        <f>IF(OR(OFFSET('Inwentaryzacja'!$A$6,45,0)="",OFFSET('Inwentaryzacja'!$D$6,45,0)=""),"",OFFSET('Inwentaryzacja'!$D$6,45,0))</f>
      </c>
      <c r="F62" s="8">
        <f>IF(AND(ISNUMBER($D62),ISNUMBER($E62)),ROUND($D62*$E62,2),"")</f>
      </c>
    </row>
    <row r="63">
      <c r="A63" s="7">
        <f>IF(OR(OFFSET('Inwentaryzacja'!$A$6,46,0)&lt;&gt;"",LEN($D63)&gt;0,LEN($E63)&gt;0),COUNT($A$18:$A62)+1,"")</f>
      </c>
      <c r="B63" s="7">
        <f>IF(OFFSET('Inwentaryzacja'!$A$6,46,0)&lt;&gt;"",OFFSET('Inwentaryzacja'!$A$6,46,0),IF(AND(ISNUMBER($A62),COUNT($A63:$A$517)=0),"Spis zakończono na pozycji "&amp;$A62,""))</f>
      </c>
      <c r="C63" s="7">
        <f>IF(OR(OFFSET('Inwentaryzacja'!$A$6,46,0)="",OFFSET('Inwentaryzacja'!$B$6,46,0)=""),"",OFFSET('Inwentaryzacja'!$B$6,46,0))</f>
      </c>
      <c r="D63" s="7">
        <f>IF(OR(OFFSET('Inwentaryzacja'!$A$6,46,0)="",OFFSET('Inwentaryzacja'!$D$6,46,0)=""),"",OFFSET('Inwentaryzacja'!$D$6,46,0))</f>
      </c>
      <c r="F63" s="8">
        <f>IF(AND(ISNUMBER($D63),ISNUMBER($E63)),ROUND($D63*$E63,2),"")</f>
      </c>
    </row>
    <row r="64">
      <c r="A64" s="7">
        <f>IF(OR(OFFSET('Inwentaryzacja'!$A$6,47,0)&lt;&gt;"",LEN($D64)&gt;0,LEN($E64)&gt;0),COUNT($A$18:$A63)+1,"")</f>
      </c>
      <c r="B64" s="7">
        <f>IF(OFFSET('Inwentaryzacja'!$A$6,47,0)&lt;&gt;"",OFFSET('Inwentaryzacja'!$A$6,47,0),IF(AND(ISNUMBER($A63),COUNT($A64:$A$517)=0),"Spis zakończono na pozycji "&amp;$A63,""))</f>
      </c>
      <c r="C64" s="7">
        <f>IF(OR(OFFSET('Inwentaryzacja'!$A$6,47,0)="",OFFSET('Inwentaryzacja'!$B$6,47,0)=""),"",OFFSET('Inwentaryzacja'!$B$6,47,0))</f>
      </c>
      <c r="D64" s="7">
        <f>IF(OR(OFFSET('Inwentaryzacja'!$A$6,47,0)="",OFFSET('Inwentaryzacja'!$D$6,47,0)=""),"",OFFSET('Inwentaryzacja'!$D$6,47,0))</f>
      </c>
      <c r="F64" s="8">
        <f>IF(AND(ISNUMBER($D64),ISNUMBER($E64)),ROUND($D64*$E64,2),"")</f>
      </c>
    </row>
    <row r="65">
      <c r="A65" s="7">
        <f>IF(OR(OFFSET('Inwentaryzacja'!$A$6,48,0)&lt;&gt;"",LEN($D65)&gt;0,LEN($E65)&gt;0),COUNT($A$18:$A64)+1,"")</f>
      </c>
      <c r="B65" s="7">
        <f>IF(OFFSET('Inwentaryzacja'!$A$6,48,0)&lt;&gt;"",OFFSET('Inwentaryzacja'!$A$6,48,0),IF(AND(ISNUMBER($A64),COUNT($A65:$A$517)=0),"Spis zakończono na pozycji "&amp;$A64,""))</f>
      </c>
      <c r="C65" s="7">
        <f>IF(OR(OFFSET('Inwentaryzacja'!$A$6,48,0)="",OFFSET('Inwentaryzacja'!$B$6,48,0)=""),"",OFFSET('Inwentaryzacja'!$B$6,48,0))</f>
      </c>
      <c r="D65" s="7">
        <f>IF(OR(OFFSET('Inwentaryzacja'!$A$6,48,0)="",OFFSET('Inwentaryzacja'!$D$6,48,0)=""),"",OFFSET('Inwentaryzacja'!$D$6,48,0))</f>
      </c>
      <c r="F65" s="8">
        <f>IF(AND(ISNUMBER($D65),ISNUMBER($E65)),ROUND($D65*$E65,2),"")</f>
      </c>
    </row>
    <row r="66">
      <c r="A66" s="7">
        <f>IF(OR(OFFSET('Inwentaryzacja'!$A$6,49,0)&lt;&gt;"",LEN($D66)&gt;0,LEN($E66)&gt;0),COUNT($A$18:$A65)+1,"")</f>
      </c>
      <c r="B66" s="7">
        <f>IF(OFFSET('Inwentaryzacja'!$A$6,49,0)&lt;&gt;"",OFFSET('Inwentaryzacja'!$A$6,49,0),IF(AND(ISNUMBER($A65),COUNT($A66:$A$517)=0),"Spis zakończono na pozycji "&amp;$A65,""))</f>
      </c>
      <c r="C66" s="7">
        <f>IF(OR(OFFSET('Inwentaryzacja'!$A$6,49,0)="",OFFSET('Inwentaryzacja'!$B$6,49,0)=""),"",OFFSET('Inwentaryzacja'!$B$6,49,0))</f>
      </c>
      <c r="D66" s="7">
        <f>IF(OR(OFFSET('Inwentaryzacja'!$A$6,49,0)="",OFFSET('Inwentaryzacja'!$D$6,49,0)=""),"",OFFSET('Inwentaryzacja'!$D$6,49,0))</f>
      </c>
      <c r="F66" s="8">
        <f>IF(AND(ISNUMBER($D66),ISNUMBER($E66)),ROUND($D66*$E66,2),"")</f>
      </c>
    </row>
    <row r="67">
      <c r="A67" s="7">
        <f>IF(OR(OFFSET('Inwentaryzacja'!$A$6,50,0)&lt;&gt;"",LEN($D67)&gt;0,LEN($E67)&gt;0),COUNT($A$18:$A66)+1,"")</f>
      </c>
      <c r="B67" s="7">
        <f>IF(OFFSET('Inwentaryzacja'!$A$6,50,0)&lt;&gt;"",OFFSET('Inwentaryzacja'!$A$6,50,0),IF(AND(ISNUMBER($A66),COUNT($A67:$A$517)=0),"Spis zakończono na pozycji "&amp;$A66,""))</f>
      </c>
      <c r="C67" s="7">
        <f>IF(OR(OFFSET('Inwentaryzacja'!$A$6,50,0)="",OFFSET('Inwentaryzacja'!$B$6,50,0)=""),"",OFFSET('Inwentaryzacja'!$B$6,50,0))</f>
      </c>
      <c r="D67" s="7">
        <f>IF(OR(OFFSET('Inwentaryzacja'!$A$6,50,0)="",OFFSET('Inwentaryzacja'!$D$6,50,0)=""),"",OFFSET('Inwentaryzacja'!$D$6,50,0))</f>
      </c>
      <c r="F67" s="8">
        <f>IF(AND(ISNUMBER($D67),ISNUMBER($E67)),ROUND($D67*$E67,2),"")</f>
      </c>
    </row>
    <row r="68">
      <c r="A68" s="7">
        <f>IF(OR(OFFSET('Inwentaryzacja'!$A$6,51,0)&lt;&gt;"",LEN($D68)&gt;0,LEN($E68)&gt;0),COUNT($A$18:$A67)+1,"")</f>
      </c>
      <c r="B68" s="7">
        <f>IF(OFFSET('Inwentaryzacja'!$A$6,51,0)&lt;&gt;"",OFFSET('Inwentaryzacja'!$A$6,51,0),IF(AND(ISNUMBER($A67),COUNT($A68:$A$517)=0),"Spis zakończono na pozycji "&amp;$A67,""))</f>
      </c>
      <c r="C68" s="7">
        <f>IF(OR(OFFSET('Inwentaryzacja'!$A$6,51,0)="",OFFSET('Inwentaryzacja'!$B$6,51,0)=""),"",OFFSET('Inwentaryzacja'!$B$6,51,0))</f>
      </c>
      <c r="D68" s="7">
        <f>IF(OR(OFFSET('Inwentaryzacja'!$A$6,51,0)="",OFFSET('Inwentaryzacja'!$D$6,51,0)=""),"",OFFSET('Inwentaryzacja'!$D$6,51,0))</f>
      </c>
      <c r="F68" s="8">
        <f>IF(AND(ISNUMBER($D68),ISNUMBER($E68)),ROUND($D68*$E68,2),"")</f>
      </c>
    </row>
    <row r="69">
      <c r="A69" s="7">
        <f>IF(OR(OFFSET('Inwentaryzacja'!$A$6,52,0)&lt;&gt;"",LEN($D69)&gt;0,LEN($E69)&gt;0),COUNT($A$18:$A68)+1,"")</f>
      </c>
      <c r="B69" s="7">
        <f>IF(OFFSET('Inwentaryzacja'!$A$6,52,0)&lt;&gt;"",OFFSET('Inwentaryzacja'!$A$6,52,0),IF(AND(ISNUMBER($A68),COUNT($A69:$A$517)=0),"Spis zakończono na pozycji "&amp;$A68,""))</f>
      </c>
      <c r="C69" s="7">
        <f>IF(OR(OFFSET('Inwentaryzacja'!$A$6,52,0)="",OFFSET('Inwentaryzacja'!$B$6,52,0)=""),"",OFFSET('Inwentaryzacja'!$B$6,52,0))</f>
      </c>
      <c r="D69" s="7">
        <f>IF(OR(OFFSET('Inwentaryzacja'!$A$6,52,0)="",OFFSET('Inwentaryzacja'!$D$6,52,0)=""),"",OFFSET('Inwentaryzacja'!$D$6,52,0))</f>
      </c>
      <c r="F69" s="8">
        <f>IF(AND(ISNUMBER($D69),ISNUMBER($E69)),ROUND($D69*$E69,2),"")</f>
      </c>
    </row>
    <row r="70">
      <c r="A70" s="7">
        <f>IF(OR(OFFSET('Inwentaryzacja'!$A$6,53,0)&lt;&gt;"",LEN($D70)&gt;0,LEN($E70)&gt;0),COUNT($A$18:$A69)+1,"")</f>
      </c>
      <c r="B70" s="7">
        <f>IF(OFFSET('Inwentaryzacja'!$A$6,53,0)&lt;&gt;"",OFFSET('Inwentaryzacja'!$A$6,53,0),IF(AND(ISNUMBER($A69),COUNT($A70:$A$517)=0),"Spis zakończono na pozycji "&amp;$A69,""))</f>
      </c>
      <c r="C70" s="7">
        <f>IF(OR(OFFSET('Inwentaryzacja'!$A$6,53,0)="",OFFSET('Inwentaryzacja'!$B$6,53,0)=""),"",OFFSET('Inwentaryzacja'!$B$6,53,0))</f>
      </c>
      <c r="D70" s="7">
        <f>IF(OR(OFFSET('Inwentaryzacja'!$A$6,53,0)="",OFFSET('Inwentaryzacja'!$D$6,53,0)=""),"",OFFSET('Inwentaryzacja'!$D$6,53,0))</f>
      </c>
      <c r="F70" s="8">
        <f>IF(AND(ISNUMBER($D70),ISNUMBER($E70)),ROUND($D70*$E70,2),"")</f>
      </c>
    </row>
    <row r="71">
      <c r="A71" s="7">
        <f>IF(OR(OFFSET('Inwentaryzacja'!$A$6,54,0)&lt;&gt;"",LEN($D71)&gt;0,LEN($E71)&gt;0),COUNT($A$18:$A70)+1,"")</f>
      </c>
      <c r="B71" s="7">
        <f>IF(OFFSET('Inwentaryzacja'!$A$6,54,0)&lt;&gt;"",OFFSET('Inwentaryzacja'!$A$6,54,0),IF(AND(ISNUMBER($A70),COUNT($A71:$A$517)=0),"Spis zakończono na pozycji "&amp;$A70,""))</f>
      </c>
      <c r="C71" s="7">
        <f>IF(OR(OFFSET('Inwentaryzacja'!$A$6,54,0)="",OFFSET('Inwentaryzacja'!$B$6,54,0)=""),"",OFFSET('Inwentaryzacja'!$B$6,54,0))</f>
      </c>
      <c r="D71" s="7">
        <f>IF(OR(OFFSET('Inwentaryzacja'!$A$6,54,0)="",OFFSET('Inwentaryzacja'!$D$6,54,0)=""),"",OFFSET('Inwentaryzacja'!$D$6,54,0))</f>
      </c>
      <c r="F71" s="8">
        <f>IF(AND(ISNUMBER($D71),ISNUMBER($E71)),ROUND($D71*$E71,2),"")</f>
      </c>
    </row>
    <row r="72">
      <c r="A72" s="7">
        <f>IF(OR(OFFSET('Inwentaryzacja'!$A$6,55,0)&lt;&gt;"",LEN($D72)&gt;0,LEN($E72)&gt;0),COUNT($A$18:$A71)+1,"")</f>
      </c>
      <c r="B72" s="7">
        <f>IF(OFFSET('Inwentaryzacja'!$A$6,55,0)&lt;&gt;"",OFFSET('Inwentaryzacja'!$A$6,55,0),IF(AND(ISNUMBER($A71),COUNT($A72:$A$517)=0),"Spis zakończono na pozycji "&amp;$A71,""))</f>
      </c>
      <c r="C72" s="7">
        <f>IF(OR(OFFSET('Inwentaryzacja'!$A$6,55,0)="",OFFSET('Inwentaryzacja'!$B$6,55,0)=""),"",OFFSET('Inwentaryzacja'!$B$6,55,0))</f>
      </c>
      <c r="D72" s="7">
        <f>IF(OR(OFFSET('Inwentaryzacja'!$A$6,55,0)="",OFFSET('Inwentaryzacja'!$D$6,55,0)=""),"",OFFSET('Inwentaryzacja'!$D$6,55,0))</f>
      </c>
      <c r="F72" s="8">
        <f>IF(AND(ISNUMBER($D72),ISNUMBER($E72)),ROUND($D72*$E72,2),"")</f>
      </c>
    </row>
    <row r="73">
      <c r="A73" s="7">
        <f>IF(OR(OFFSET('Inwentaryzacja'!$A$6,56,0)&lt;&gt;"",LEN($D73)&gt;0,LEN($E73)&gt;0),COUNT($A$18:$A72)+1,"")</f>
      </c>
      <c r="B73" s="7">
        <f>IF(OFFSET('Inwentaryzacja'!$A$6,56,0)&lt;&gt;"",OFFSET('Inwentaryzacja'!$A$6,56,0),IF(AND(ISNUMBER($A72),COUNT($A73:$A$517)=0),"Spis zakończono na pozycji "&amp;$A72,""))</f>
      </c>
      <c r="C73" s="7">
        <f>IF(OR(OFFSET('Inwentaryzacja'!$A$6,56,0)="",OFFSET('Inwentaryzacja'!$B$6,56,0)=""),"",OFFSET('Inwentaryzacja'!$B$6,56,0))</f>
      </c>
      <c r="D73" s="7">
        <f>IF(OR(OFFSET('Inwentaryzacja'!$A$6,56,0)="",OFFSET('Inwentaryzacja'!$D$6,56,0)=""),"",OFFSET('Inwentaryzacja'!$D$6,56,0))</f>
      </c>
      <c r="F73" s="8">
        <f>IF(AND(ISNUMBER($D73),ISNUMBER($E73)),ROUND($D73*$E73,2),"")</f>
      </c>
    </row>
    <row r="74">
      <c r="A74" s="7">
        <f>IF(OR(OFFSET('Inwentaryzacja'!$A$6,57,0)&lt;&gt;"",LEN($D74)&gt;0,LEN($E74)&gt;0),COUNT($A$18:$A73)+1,"")</f>
      </c>
      <c r="B74" s="7">
        <f>IF(OFFSET('Inwentaryzacja'!$A$6,57,0)&lt;&gt;"",OFFSET('Inwentaryzacja'!$A$6,57,0),IF(AND(ISNUMBER($A73),COUNT($A74:$A$517)=0),"Spis zakończono na pozycji "&amp;$A73,""))</f>
      </c>
      <c r="C74" s="7">
        <f>IF(OR(OFFSET('Inwentaryzacja'!$A$6,57,0)="",OFFSET('Inwentaryzacja'!$B$6,57,0)=""),"",OFFSET('Inwentaryzacja'!$B$6,57,0))</f>
      </c>
      <c r="D74" s="7">
        <f>IF(OR(OFFSET('Inwentaryzacja'!$A$6,57,0)="",OFFSET('Inwentaryzacja'!$D$6,57,0)=""),"",OFFSET('Inwentaryzacja'!$D$6,57,0))</f>
      </c>
      <c r="F74" s="8">
        <f>IF(AND(ISNUMBER($D74),ISNUMBER($E74)),ROUND($D74*$E74,2),"")</f>
      </c>
    </row>
    <row r="75">
      <c r="A75" s="7">
        <f>IF(OR(OFFSET('Inwentaryzacja'!$A$6,58,0)&lt;&gt;"",LEN($D75)&gt;0,LEN($E75)&gt;0),COUNT($A$18:$A74)+1,"")</f>
      </c>
      <c r="B75" s="7">
        <f>IF(OFFSET('Inwentaryzacja'!$A$6,58,0)&lt;&gt;"",OFFSET('Inwentaryzacja'!$A$6,58,0),IF(AND(ISNUMBER($A74),COUNT($A75:$A$517)=0),"Spis zakończono na pozycji "&amp;$A74,""))</f>
      </c>
      <c r="C75" s="7">
        <f>IF(OR(OFFSET('Inwentaryzacja'!$A$6,58,0)="",OFFSET('Inwentaryzacja'!$B$6,58,0)=""),"",OFFSET('Inwentaryzacja'!$B$6,58,0))</f>
      </c>
      <c r="D75" s="7">
        <f>IF(OR(OFFSET('Inwentaryzacja'!$A$6,58,0)="",OFFSET('Inwentaryzacja'!$D$6,58,0)=""),"",OFFSET('Inwentaryzacja'!$D$6,58,0))</f>
      </c>
      <c r="F75" s="8">
        <f>IF(AND(ISNUMBER($D75),ISNUMBER($E75)),ROUND($D75*$E75,2),"")</f>
      </c>
    </row>
    <row r="76">
      <c r="A76" s="7">
        <f>IF(OR(OFFSET('Inwentaryzacja'!$A$6,59,0)&lt;&gt;"",LEN($D76)&gt;0,LEN($E76)&gt;0),COUNT($A$18:$A75)+1,"")</f>
      </c>
      <c r="B76" s="7">
        <f>IF(OFFSET('Inwentaryzacja'!$A$6,59,0)&lt;&gt;"",OFFSET('Inwentaryzacja'!$A$6,59,0),IF(AND(ISNUMBER($A75),COUNT($A76:$A$517)=0),"Spis zakończono na pozycji "&amp;$A75,""))</f>
      </c>
      <c r="C76" s="7">
        <f>IF(OR(OFFSET('Inwentaryzacja'!$A$6,59,0)="",OFFSET('Inwentaryzacja'!$B$6,59,0)=""),"",OFFSET('Inwentaryzacja'!$B$6,59,0))</f>
      </c>
      <c r="D76" s="7">
        <f>IF(OR(OFFSET('Inwentaryzacja'!$A$6,59,0)="",OFFSET('Inwentaryzacja'!$D$6,59,0)=""),"",OFFSET('Inwentaryzacja'!$D$6,59,0))</f>
      </c>
      <c r="F76" s="8">
        <f>IF(AND(ISNUMBER($D76),ISNUMBER($E76)),ROUND($D76*$E76,2),"")</f>
      </c>
    </row>
    <row r="77">
      <c r="A77" s="7">
        <f>IF(OR(OFFSET('Inwentaryzacja'!$A$6,60,0)&lt;&gt;"",LEN($D77)&gt;0,LEN($E77)&gt;0),COUNT($A$18:$A76)+1,"")</f>
      </c>
      <c r="B77" s="7">
        <f>IF(OFFSET('Inwentaryzacja'!$A$6,60,0)&lt;&gt;"",OFFSET('Inwentaryzacja'!$A$6,60,0),IF(AND(ISNUMBER($A76),COUNT($A77:$A$517)=0),"Spis zakończono na pozycji "&amp;$A76,""))</f>
      </c>
      <c r="C77" s="7">
        <f>IF(OR(OFFSET('Inwentaryzacja'!$A$6,60,0)="",OFFSET('Inwentaryzacja'!$B$6,60,0)=""),"",OFFSET('Inwentaryzacja'!$B$6,60,0))</f>
      </c>
      <c r="D77" s="7">
        <f>IF(OR(OFFSET('Inwentaryzacja'!$A$6,60,0)="",OFFSET('Inwentaryzacja'!$D$6,60,0)=""),"",OFFSET('Inwentaryzacja'!$D$6,60,0))</f>
      </c>
      <c r="F77" s="8">
        <f>IF(AND(ISNUMBER($D77),ISNUMBER($E77)),ROUND($D77*$E77,2),"")</f>
      </c>
    </row>
    <row r="78">
      <c r="A78" s="7">
        <f>IF(OR(OFFSET('Inwentaryzacja'!$A$6,61,0)&lt;&gt;"",LEN($D78)&gt;0,LEN($E78)&gt;0),COUNT($A$18:$A77)+1,"")</f>
      </c>
      <c r="B78" s="7">
        <f>IF(OFFSET('Inwentaryzacja'!$A$6,61,0)&lt;&gt;"",OFFSET('Inwentaryzacja'!$A$6,61,0),IF(AND(ISNUMBER($A77),COUNT($A78:$A$517)=0),"Spis zakończono na pozycji "&amp;$A77,""))</f>
      </c>
      <c r="C78" s="7">
        <f>IF(OR(OFFSET('Inwentaryzacja'!$A$6,61,0)="",OFFSET('Inwentaryzacja'!$B$6,61,0)=""),"",OFFSET('Inwentaryzacja'!$B$6,61,0))</f>
      </c>
      <c r="D78" s="7">
        <f>IF(OR(OFFSET('Inwentaryzacja'!$A$6,61,0)="",OFFSET('Inwentaryzacja'!$D$6,61,0)=""),"",OFFSET('Inwentaryzacja'!$D$6,61,0))</f>
      </c>
      <c r="F78" s="8">
        <f>IF(AND(ISNUMBER($D78),ISNUMBER($E78)),ROUND($D78*$E78,2),"")</f>
      </c>
    </row>
    <row r="79">
      <c r="A79" s="7">
        <f>IF(OR(OFFSET('Inwentaryzacja'!$A$6,62,0)&lt;&gt;"",LEN($D79)&gt;0,LEN($E79)&gt;0),COUNT($A$18:$A78)+1,"")</f>
      </c>
      <c r="B79" s="7">
        <f>IF(OFFSET('Inwentaryzacja'!$A$6,62,0)&lt;&gt;"",OFFSET('Inwentaryzacja'!$A$6,62,0),IF(AND(ISNUMBER($A78),COUNT($A79:$A$517)=0),"Spis zakończono na pozycji "&amp;$A78,""))</f>
      </c>
      <c r="C79" s="7">
        <f>IF(OR(OFFSET('Inwentaryzacja'!$A$6,62,0)="",OFFSET('Inwentaryzacja'!$B$6,62,0)=""),"",OFFSET('Inwentaryzacja'!$B$6,62,0))</f>
      </c>
      <c r="D79" s="7">
        <f>IF(OR(OFFSET('Inwentaryzacja'!$A$6,62,0)="",OFFSET('Inwentaryzacja'!$D$6,62,0)=""),"",OFFSET('Inwentaryzacja'!$D$6,62,0))</f>
      </c>
      <c r="F79" s="8">
        <f>IF(AND(ISNUMBER($D79),ISNUMBER($E79)),ROUND($D79*$E79,2),"")</f>
      </c>
    </row>
    <row r="80">
      <c r="A80" s="7">
        <f>IF(OR(OFFSET('Inwentaryzacja'!$A$6,63,0)&lt;&gt;"",LEN($D80)&gt;0,LEN($E80)&gt;0),COUNT($A$18:$A79)+1,"")</f>
      </c>
      <c r="B80" s="7">
        <f>IF(OFFSET('Inwentaryzacja'!$A$6,63,0)&lt;&gt;"",OFFSET('Inwentaryzacja'!$A$6,63,0),IF(AND(ISNUMBER($A79),COUNT($A80:$A$517)=0),"Spis zakończono na pozycji "&amp;$A79,""))</f>
      </c>
      <c r="C80" s="7">
        <f>IF(OR(OFFSET('Inwentaryzacja'!$A$6,63,0)="",OFFSET('Inwentaryzacja'!$B$6,63,0)=""),"",OFFSET('Inwentaryzacja'!$B$6,63,0))</f>
      </c>
      <c r="D80" s="7">
        <f>IF(OR(OFFSET('Inwentaryzacja'!$A$6,63,0)="",OFFSET('Inwentaryzacja'!$D$6,63,0)=""),"",OFFSET('Inwentaryzacja'!$D$6,63,0))</f>
      </c>
      <c r="F80" s="8">
        <f>IF(AND(ISNUMBER($D80),ISNUMBER($E80)),ROUND($D80*$E80,2),"")</f>
      </c>
    </row>
    <row r="81">
      <c r="A81" s="7">
        <f>IF(OR(OFFSET('Inwentaryzacja'!$A$6,64,0)&lt;&gt;"",LEN($D81)&gt;0,LEN($E81)&gt;0),COUNT($A$18:$A80)+1,"")</f>
      </c>
      <c r="B81" s="7">
        <f>IF(OFFSET('Inwentaryzacja'!$A$6,64,0)&lt;&gt;"",OFFSET('Inwentaryzacja'!$A$6,64,0),IF(AND(ISNUMBER($A80),COUNT($A81:$A$517)=0),"Spis zakończono na pozycji "&amp;$A80,""))</f>
      </c>
      <c r="C81" s="7">
        <f>IF(OR(OFFSET('Inwentaryzacja'!$A$6,64,0)="",OFFSET('Inwentaryzacja'!$B$6,64,0)=""),"",OFFSET('Inwentaryzacja'!$B$6,64,0))</f>
      </c>
      <c r="D81" s="7">
        <f>IF(OR(OFFSET('Inwentaryzacja'!$A$6,64,0)="",OFFSET('Inwentaryzacja'!$D$6,64,0)=""),"",OFFSET('Inwentaryzacja'!$D$6,64,0))</f>
      </c>
      <c r="F81" s="8">
        <f>IF(AND(ISNUMBER($D81),ISNUMBER($E81)),ROUND($D81*$E81,2),"")</f>
      </c>
    </row>
    <row r="82">
      <c r="A82" s="7">
        <f>IF(OR(OFFSET('Inwentaryzacja'!$A$6,65,0)&lt;&gt;"",LEN($D82)&gt;0,LEN($E82)&gt;0),COUNT($A$18:$A81)+1,"")</f>
      </c>
      <c r="B82" s="7">
        <f>IF(OFFSET('Inwentaryzacja'!$A$6,65,0)&lt;&gt;"",OFFSET('Inwentaryzacja'!$A$6,65,0),IF(AND(ISNUMBER($A81),COUNT($A82:$A$517)=0),"Spis zakończono na pozycji "&amp;$A81,""))</f>
      </c>
      <c r="C82" s="7">
        <f>IF(OR(OFFSET('Inwentaryzacja'!$A$6,65,0)="",OFFSET('Inwentaryzacja'!$B$6,65,0)=""),"",OFFSET('Inwentaryzacja'!$B$6,65,0))</f>
      </c>
      <c r="D82" s="7">
        <f>IF(OR(OFFSET('Inwentaryzacja'!$A$6,65,0)="",OFFSET('Inwentaryzacja'!$D$6,65,0)=""),"",OFFSET('Inwentaryzacja'!$D$6,65,0))</f>
      </c>
      <c r="F82" s="8">
        <f>IF(AND(ISNUMBER($D82),ISNUMBER($E82)),ROUND($D82*$E82,2),"")</f>
      </c>
    </row>
    <row r="83">
      <c r="A83" s="7">
        <f>IF(OR(OFFSET('Inwentaryzacja'!$A$6,66,0)&lt;&gt;"",LEN($D83)&gt;0,LEN($E83)&gt;0),COUNT($A$18:$A82)+1,"")</f>
      </c>
      <c r="B83" s="7">
        <f>IF(OFFSET('Inwentaryzacja'!$A$6,66,0)&lt;&gt;"",OFFSET('Inwentaryzacja'!$A$6,66,0),IF(AND(ISNUMBER($A82),COUNT($A83:$A$517)=0),"Spis zakończono na pozycji "&amp;$A82,""))</f>
      </c>
      <c r="C83" s="7">
        <f>IF(OR(OFFSET('Inwentaryzacja'!$A$6,66,0)="",OFFSET('Inwentaryzacja'!$B$6,66,0)=""),"",OFFSET('Inwentaryzacja'!$B$6,66,0))</f>
      </c>
      <c r="D83" s="7">
        <f>IF(OR(OFFSET('Inwentaryzacja'!$A$6,66,0)="",OFFSET('Inwentaryzacja'!$D$6,66,0)=""),"",OFFSET('Inwentaryzacja'!$D$6,66,0))</f>
      </c>
      <c r="F83" s="8">
        <f>IF(AND(ISNUMBER($D83),ISNUMBER($E83)),ROUND($D83*$E83,2),"")</f>
      </c>
    </row>
    <row r="84">
      <c r="A84" s="7">
        <f>IF(OR(OFFSET('Inwentaryzacja'!$A$6,67,0)&lt;&gt;"",LEN($D84)&gt;0,LEN($E84)&gt;0),COUNT($A$18:$A83)+1,"")</f>
      </c>
      <c r="B84" s="7">
        <f>IF(OFFSET('Inwentaryzacja'!$A$6,67,0)&lt;&gt;"",OFFSET('Inwentaryzacja'!$A$6,67,0),IF(AND(ISNUMBER($A83),COUNT($A84:$A$517)=0),"Spis zakończono na pozycji "&amp;$A83,""))</f>
      </c>
      <c r="C84" s="7">
        <f>IF(OR(OFFSET('Inwentaryzacja'!$A$6,67,0)="",OFFSET('Inwentaryzacja'!$B$6,67,0)=""),"",OFFSET('Inwentaryzacja'!$B$6,67,0))</f>
      </c>
      <c r="D84" s="7">
        <f>IF(OR(OFFSET('Inwentaryzacja'!$A$6,67,0)="",OFFSET('Inwentaryzacja'!$D$6,67,0)=""),"",OFFSET('Inwentaryzacja'!$D$6,67,0))</f>
      </c>
      <c r="F84" s="8">
        <f>IF(AND(ISNUMBER($D84),ISNUMBER($E84)),ROUND($D84*$E84,2),"")</f>
      </c>
    </row>
    <row r="85">
      <c r="A85" s="7">
        <f>IF(OR(OFFSET('Inwentaryzacja'!$A$6,68,0)&lt;&gt;"",LEN($D85)&gt;0,LEN($E85)&gt;0),COUNT($A$18:$A84)+1,"")</f>
      </c>
      <c r="B85" s="7">
        <f>IF(OFFSET('Inwentaryzacja'!$A$6,68,0)&lt;&gt;"",OFFSET('Inwentaryzacja'!$A$6,68,0),IF(AND(ISNUMBER($A84),COUNT($A85:$A$517)=0),"Spis zakończono na pozycji "&amp;$A84,""))</f>
      </c>
      <c r="C85" s="7">
        <f>IF(OR(OFFSET('Inwentaryzacja'!$A$6,68,0)="",OFFSET('Inwentaryzacja'!$B$6,68,0)=""),"",OFFSET('Inwentaryzacja'!$B$6,68,0))</f>
      </c>
      <c r="D85" s="7">
        <f>IF(OR(OFFSET('Inwentaryzacja'!$A$6,68,0)="",OFFSET('Inwentaryzacja'!$D$6,68,0)=""),"",OFFSET('Inwentaryzacja'!$D$6,68,0))</f>
      </c>
      <c r="F85" s="8">
        <f>IF(AND(ISNUMBER($D85),ISNUMBER($E85)),ROUND($D85*$E85,2),"")</f>
      </c>
    </row>
    <row r="86">
      <c r="A86" s="7">
        <f>IF(OR(OFFSET('Inwentaryzacja'!$A$6,69,0)&lt;&gt;"",LEN($D86)&gt;0,LEN($E86)&gt;0),COUNT($A$18:$A85)+1,"")</f>
      </c>
      <c r="B86" s="7">
        <f>IF(OFFSET('Inwentaryzacja'!$A$6,69,0)&lt;&gt;"",OFFSET('Inwentaryzacja'!$A$6,69,0),IF(AND(ISNUMBER($A85),COUNT($A86:$A$517)=0),"Spis zakończono na pozycji "&amp;$A85,""))</f>
      </c>
      <c r="C86" s="7">
        <f>IF(OR(OFFSET('Inwentaryzacja'!$A$6,69,0)="",OFFSET('Inwentaryzacja'!$B$6,69,0)=""),"",OFFSET('Inwentaryzacja'!$B$6,69,0))</f>
      </c>
      <c r="D86" s="7">
        <f>IF(OR(OFFSET('Inwentaryzacja'!$A$6,69,0)="",OFFSET('Inwentaryzacja'!$D$6,69,0)=""),"",OFFSET('Inwentaryzacja'!$D$6,69,0))</f>
      </c>
      <c r="F86" s="8">
        <f>IF(AND(ISNUMBER($D86),ISNUMBER($E86)),ROUND($D86*$E86,2),"")</f>
      </c>
    </row>
    <row r="87">
      <c r="A87" s="7">
        <f>IF(OR(OFFSET('Inwentaryzacja'!$A$6,70,0)&lt;&gt;"",LEN($D87)&gt;0,LEN($E87)&gt;0),COUNT($A$18:$A86)+1,"")</f>
      </c>
      <c r="B87" s="7">
        <f>IF(OFFSET('Inwentaryzacja'!$A$6,70,0)&lt;&gt;"",OFFSET('Inwentaryzacja'!$A$6,70,0),IF(AND(ISNUMBER($A86),COUNT($A87:$A$517)=0),"Spis zakończono na pozycji "&amp;$A86,""))</f>
      </c>
      <c r="C87" s="7">
        <f>IF(OR(OFFSET('Inwentaryzacja'!$A$6,70,0)="",OFFSET('Inwentaryzacja'!$B$6,70,0)=""),"",OFFSET('Inwentaryzacja'!$B$6,70,0))</f>
      </c>
      <c r="D87" s="7">
        <f>IF(OR(OFFSET('Inwentaryzacja'!$A$6,70,0)="",OFFSET('Inwentaryzacja'!$D$6,70,0)=""),"",OFFSET('Inwentaryzacja'!$D$6,70,0))</f>
      </c>
      <c r="F87" s="8">
        <f>IF(AND(ISNUMBER($D87),ISNUMBER($E87)),ROUND($D87*$E87,2),"")</f>
      </c>
    </row>
    <row r="88">
      <c r="A88" s="7">
        <f>IF(OR(OFFSET('Inwentaryzacja'!$A$6,71,0)&lt;&gt;"",LEN($D88)&gt;0,LEN($E88)&gt;0),COUNT($A$18:$A87)+1,"")</f>
      </c>
      <c r="B88" s="7">
        <f>IF(OFFSET('Inwentaryzacja'!$A$6,71,0)&lt;&gt;"",OFFSET('Inwentaryzacja'!$A$6,71,0),IF(AND(ISNUMBER($A87),COUNT($A88:$A$517)=0),"Spis zakończono na pozycji "&amp;$A87,""))</f>
      </c>
      <c r="C88" s="7">
        <f>IF(OR(OFFSET('Inwentaryzacja'!$A$6,71,0)="",OFFSET('Inwentaryzacja'!$B$6,71,0)=""),"",OFFSET('Inwentaryzacja'!$B$6,71,0))</f>
      </c>
      <c r="D88" s="7">
        <f>IF(OR(OFFSET('Inwentaryzacja'!$A$6,71,0)="",OFFSET('Inwentaryzacja'!$D$6,71,0)=""),"",OFFSET('Inwentaryzacja'!$D$6,71,0))</f>
      </c>
      <c r="F88" s="8">
        <f>IF(AND(ISNUMBER($D88),ISNUMBER($E88)),ROUND($D88*$E88,2),"")</f>
      </c>
    </row>
    <row r="89">
      <c r="A89" s="7">
        <f>IF(OR(OFFSET('Inwentaryzacja'!$A$6,72,0)&lt;&gt;"",LEN($D89)&gt;0,LEN($E89)&gt;0),COUNT($A$18:$A88)+1,"")</f>
      </c>
      <c r="B89" s="7">
        <f>IF(OFFSET('Inwentaryzacja'!$A$6,72,0)&lt;&gt;"",OFFSET('Inwentaryzacja'!$A$6,72,0),IF(AND(ISNUMBER($A88),COUNT($A89:$A$517)=0),"Spis zakończono na pozycji "&amp;$A88,""))</f>
      </c>
      <c r="C89" s="7">
        <f>IF(OR(OFFSET('Inwentaryzacja'!$A$6,72,0)="",OFFSET('Inwentaryzacja'!$B$6,72,0)=""),"",OFFSET('Inwentaryzacja'!$B$6,72,0))</f>
      </c>
      <c r="D89" s="7">
        <f>IF(OR(OFFSET('Inwentaryzacja'!$A$6,72,0)="",OFFSET('Inwentaryzacja'!$D$6,72,0)=""),"",OFFSET('Inwentaryzacja'!$D$6,72,0))</f>
      </c>
      <c r="F89" s="8">
        <f>IF(AND(ISNUMBER($D89),ISNUMBER($E89)),ROUND($D89*$E89,2),"")</f>
      </c>
    </row>
    <row r="90">
      <c r="A90" s="7">
        <f>IF(OR(OFFSET('Inwentaryzacja'!$A$6,73,0)&lt;&gt;"",LEN($D90)&gt;0,LEN($E90)&gt;0),COUNT($A$18:$A89)+1,"")</f>
      </c>
      <c r="B90" s="7">
        <f>IF(OFFSET('Inwentaryzacja'!$A$6,73,0)&lt;&gt;"",OFFSET('Inwentaryzacja'!$A$6,73,0),IF(AND(ISNUMBER($A89),COUNT($A90:$A$517)=0),"Spis zakończono na pozycji "&amp;$A89,""))</f>
      </c>
      <c r="C90" s="7">
        <f>IF(OR(OFFSET('Inwentaryzacja'!$A$6,73,0)="",OFFSET('Inwentaryzacja'!$B$6,73,0)=""),"",OFFSET('Inwentaryzacja'!$B$6,73,0))</f>
      </c>
      <c r="D90" s="7">
        <f>IF(OR(OFFSET('Inwentaryzacja'!$A$6,73,0)="",OFFSET('Inwentaryzacja'!$D$6,73,0)=""),"",OFFSET('Inwentaryzacja'!$D$6,73,0))</f>
      </c>
      <c r="F90" s="8">
        <f>IF(AND(ISNUMBER($D90),ISNUMBER($E90)),ROUND($D90*$E90,2),"")</f>
      </c>
    </row>
    <row r="91">
      <c r="A91" s="7">
        <f>IF(OR(OFFSET('Inwentaryzacja'!$A$6,74,0)&lt;&gt;"",LEN($D91)&gt;0,LEN($E91)&gt;0),COUNT($A$18:$A90)+1,"")</f>
      </c>
      <c r="B91" s="7">
        <f>IF(OFFSET('Inwentaryzacja'!$A$6,74,0)&lt;&gt;"",OFFSET('Inwentaryzacja'!$A$6,74,0),IF(AND(ISNUMBER($A90),COUNT($A91:$A$517)=0),"Spis zakończono na pozycji "&amp;$A90,""))</f>
      </c>
      <c r="C91" s="7">
        <f>IF(OR(OFFSET('Inwentaryzacja'!$A$6,74,0)="",OFFSET('Inwentaryzacja'!$B$6,74,0)=""),"",OFFSET('Inwentaryzacja'!$B$6,74,0))</f>
      </c>
      <c r="D91" s="7">
        <f>IF(OR(OFFSET('Inwentaryzacja'!$A$6,74,0)="",OFFSET('Inwentaryzacja'!$D$6,74,0)=""),"",OFFSET('Inwentaryzacja'!$D$6,74,0))</f>
      </c>
      <c r="F91" s="8">
        <f>IF(AND(ISNUMBER($D91),ISNUMBER($E91)),ROUND($D91*$E91,2),"")</f>
      </c>
    </row>
    <row r="92">
      <c r="A92" s="7">
        <f>IF(OR(OFFSET('Inwentaryzacja'!$A$6,75,0)&lt;&gt;"",LEN($D92)&gt;0,LEN($E92)&gt;0),COUNT($A$18:$A91)+1,"")</f>
      </c>
      <c r="B92" s="7">
        <f>IF(OFFSET('Inwentaryzacja'!$A$6,75,0)&lt;&gt;"",OFFSET('Inwentaryzacja'!$A$6,75,0),IF(AND(ISNUMBER($A91),COUNT($A92:$A$517)=0),"Spis zakończono na pozycji "&amp;$A91,""))</f>
      </c>
      <c r="C92" s="7">
        <f>IF(OR(OFFSET('Inwentaryzacja'!$A$6,75,0)="",OFFSET('Inwentaryzacja'!$B$6,75,0)=""),"",OFFSET('Inwentaryzacja'!$B$6,75,0))</f>
      </c>
      <c r="D92" s="7">
        <f>IF(OR(OFFSET('Inwentaryzacja'!$A$6,75,0)="",OFFSET('Inwentaryzacja'!$D$6,75,0)=""),"",OFFSET('Inwentaryzacja'!$D$6,75,0))</f>
      </c>
      <c r="F92" s="8">
        <f>IF(AND(ISNUMBER($D92),ISNUMBER($E92)),ROUND($D92*$E92,2),"")</f>
      </c>
    </row>
    <row r="93">
      <c r="A93" s="7">
        <f>IF(OR(OFFSET('Inwentaryzacja'!$A$6,76,0)&lt;&gt;"",LEN($D93)&gt;0,LEN($E93)&gt;0),COUNT($A$18:$A92)+1,"")</f>
      </c>
      <c r="B93" s="7">
        <f>IF(OFFSET('Inwentaryzacja'!$A$6,76,0)&lt;&gt;"",OFFSET('Inwentaryzacja'!$A$6,76,0),IF(AND(ISNUMBER($A92),COUNT($A93:$A$517)=0),"Spis zakończono na pozycji "&amp;$A92,""))</f>
      </c>
      <c r="C93" s="7">
        <f>IF(OR(OFFSET('Inwentaryzacja'!$A$6,76,0)="",OFFSET('Inwentaryzacja'!$B$6,76,0)=""),"",OFFSET('Inwentaryzacja'!$B$6,76,0))</f>
      </c>
      <c r="D93" s="7">
        <f>IF(OR(OFFSET('Inwentaryzacja'!$A$6,76,0)="",OFFSET('Inwentaryzacja'!$D$6,76,0)=""),"",OFFSET('Inwentaryzacja'!$D$6,76,0))</f>
      </c>
      <c r="F93" s="8">
        <f>IF(AND(ISNUMBER($D93),ISNUMBER($E93)),ROUND($D93*$E93,2),"")</f>
      </c>
    </row>
    <row r="94">
      <c r="A94" s="7">
        <f>IF(OR(OFFSET('Inwentaryzacja'!$A$6,77,0)&lt;&gt;"",LEN($D94)&gt;0,LEN($E94)&gt;0),COUNT($A$18:$A93)+1,"")</f>
      </c>
      <c r="B94" s="7">
        <f>IF(OFFSET('Inwentaryzacja'!$A$6,77,0)&lt;&gt;"",OFFSET('Inwentaryzacja'!$A$6,77,0),IF(AND(ISNUMBER($A93),COUNT($A94:$A$517)=0),"Spis zakończono na pozycji "&amp;$A93,""))</f>
      </c>
      <c r="C94" s="7">
        <f>IF(OR(OFFSET('Inwentaryzacja'!$A$6,77,0)="",OFFSET('Inwentaryzacja'!$B$6,77,0)=""),"",OFFSET('Inwentaryzacja'!$B$6,77,0))</f>
      </c>
      <c r="D94" s="7">
        <f>IF(OR(OFFSET('Inwentaryzacja'!$A$6,77,0)="",OFFSET('Inwentaryzacja'!$D$6,77,0)=""),"",OFFSET('Inwentaryzacja'!$D$6,77,0))</f>
      </c>
      <c r="F94" s="8">
        <f>IF(AND(ISNUMBER($D94),ISNUMBER($E94)),ROUND($D94*$E94,2),"")</f>
      </c>
    </row>
    <row r="95">
      <c r="A95" s="7">
        <f>IF(OR(OFFSET('Inwentaryzacja'!$A$6,78,0)&lt;&gt;"",LEN($D95)&gt;0,LEN($E95)&gt;0),COUNT($A$18:$A94)+1,"")</f>
      </c>
      <c r="B95" s="7">
        <f>IF(OFFSET('Inwentaryzacja'!$A$6,78,0)&lt;&gt;"",OFFSET('Inwentaryzacja'!$A$6,78,0),IF(AND(ISNUMBER($A94),COUNT($A95:$A$517)=0),"Spis zakończono na pozycji "&amp;$A94,""))</f>
      </c>
      <c r="C95" s="7">
        <f>IF(OR(OFFSET('Inwentaryzacja'!$A$6,78,0)="",OFFSET('Inwentaryzacja'!$B$6,78,0)=""),"",OFFSET('Inwentaryzacja'!$B$6,78,0))</f>
      </c>
      <c r="D95" s="7">
        <f>IF(OR(OFFSET('Inwentaryzacja'!$A$6,78,0)="",OFFSET('Inwentaryzacja'!$D$6,78,0)=""),"",OFFSET('Inwentaryzacja'!$D$6,78,0))</f>
      </c>
      <c r="F95" s="8">
        <f>IF(AND(ISNUMBER($D95),ISNUMBER($E95)),ROUND($D95*$E95,2),"")</f>
      </c>
    </row>
    <row r="96">
      <c r="A96" s="7">
        <f>IF(OR(OFFSET('Inwentaryzacja'!$A$6,79,0)&lt;&gt;"",LEN($D96)&gt;0,LEN($E96)&gt;0),COUNT($A$18:$A95)+1,"")</f>
      </c>
      <c r="B96" s="7">
        <f>IF(OFFSET('Inwentaryzacja'!$A$6,79,0)&lt;&gt;"",OFFSET('Inwentaryzacja'!$A$6,79,0),IF(AND(ISNUMBER($A95),COUNT($A96:$A$517)=0),"Spis zakończono na pozycji "&amp;$A95,""))</f>
      </c>
      <c r="C96" s="7">
        <f>IF(OR(OFFSET('Inwentaryzacja'!$A$6,79,0)="",OFFSET('Inwentaryzacja'!$B$6,79,0)=""),"",OFFSET('Inwentaryzacja'!$B$6,79,0))</f>
      </c>
      <c r="D96" s="7">
        <f>IF(OR(OFFSET('Inwentaryzacja'!$A$6,79,0)="",OFFSET('Inwentaryzacja'!$D$6,79,0)=""),"",OFFSET('Inwentaryzacja'!$D$6,79,0))</f>
      </c>
      <c r="F96" s="8">
        <f>IF(AND(ISNUMBER($D96),ISNUMBER($E96)),ROUND($D96*$E96,2),"")</f>
      </c>
    </row>
    <row r="97">
      <c r="A97" s="7">
        <f>IF(OR(OFFSET('Inwentaryzacja'!$A$6,80,0)&lt;&gt;"",LEN($D97)&gt;0,LEN($E97)&gt;0),COUNT($A$18:$A96)+1,"")</f>
      </c>
      <c r="B97" s="7">
        <f>IF(OFFSET('Inwentaryzacja'!$A$6,80,0)&lt;&gt;"",OFFSET('Inwentaryzacja'!$A$6,80,0),IF(AND(ISNUMBER($A96),COUNT($A97:$A$517)=0),"Spis zakończono na pozycji "&amp;$A96,""))</f>
      </c>
      <c r="C97" s="7">
        <f>IF(OR(OFFSET('Inwentaryzacja'!$A$6,80,0)="",OFFSET('Inwentaryzacja'!$B$6,80,0)=""),"",OFFSET('Inwentaryzacja'!$B$6,80,0))</f>
      </c>
      <c r="D97" s="7">
        <f>IF(OR(OFFSET('Inwentaryzacja'!$A$6,80,0)="",OFFSET('Inwentaryzacja'!$D$6,80,0)=""),"",OFFSET('Inwentaryzacja'!$D$6,80,0))</f>
      </c>
      <c r="F97" s="8">
        <f>IF(AND(ISNUMBER($D97),ISNUMBER($E97)),ROUND($D97*$E97,2),"")</f>
      </c>
    </row>
    <row r="98">
      <c r="A98" s="7">
        <f>IF(OR(OFFSET('Inwentaryzacja'!$A$6,81,0)&lt;&gt;"",LEN($D98)&gt;0,LEN($E98)&gt;0),COUNT($A$18:$A97)+1,"")</f>
      </c>
      <c r="B98" s="7">
        <f>IF(OFFSET('Inwentaryzacja'!$A$6,81,0)&lt;&gt;"",OFFSET('Inwentaryzacja'!$A$6,81,0),IF(AND(ISNUMBER($A97),COUNT($A98:$A$517)=0),"Spis zakończono na pozycji "&amp;$A97,""))</f>
      </c>
      <c r="C98" s="7">
        <f>IF(OR(OFFSET('Inwentaryzacja'!$A$6,81,0)="",OFFSET('Inwentaryzacja'!$B$6,81,0)=""),"",OFFSET('Inwentaryzacja'!$B$6,81,0))</f>
      </c>
      <c r="D98" s="7">
        <f>IF(OR(OFFSET('Inwentaryzacja'!$A$6,81,0)="",OFFSET('Inwentaryzacja'!$D$6,81,0)=""),"",OFFSET('Inwentaryzacja'!$D$6,81,0))</f>
      </c>
      <c r="F98" s="8">
        <f>IF(AND(ISNUMBER($D98),ISNUMBER($E98)),ROUND($D98*$E98,2),"")</f>
      </c>
    </row>
    <row r="99">
      <c r="A99" s="7">
        <f>IF(OR(OFFSET('Inwentaryzacja'!$A$6,82,0)&lt;&gt;"",LEN($D99)&gt;0,LEN($E99)&gt;0),COUNT($A$18:$A98)+1,"")</f>
      </c>
      <c r="B99" s="7">
        <f>IF(OFFSET('Inwentaryzacja'!$A$6,82,0)&lt;&gt;"",OFFSET('Inwentaryzacja'!$A$6,82,0),IF(AND(ISNUMBER($A98),COUNT($A99:$A$517)=0),"Spis zakończono na pozycji "&amp;$A98,""))</f>
      </c>
      <c r="C99" s="7">
        <f>IF(OR(OFFSET('Inwentaryzacja'!$A$6,82,0)="",OFFSET('Inwentaryzacja'!$B$6,82,0)=""),"",OFFSET('Inwentaryzacja'!$B$6,82,0))</f>
      </c>
      <c r="D99" s="7">
        <f>IF(OR(OFFSET('Inwentaryzacja'!$A$6,82,0)="",OFFSET('Inwentaryzacja'!$D$6,82,0)=""),"",OFFSET('Inwentaryzacja'!$D$6,82,0))</f>
      </c>
      <c r="F99" s="8">
        <f>IF(AND(ISNUMBER($D99),ISNUMBER($E99)),ROUND($D99*$E99,2),"")</f>
      </c>
    </row>
    <row r="100">
      <c r="A100" s="7">
        <f>IF(OR(OFFSET('Inwentaryzacja'!$A$6,83,0)&lt;&gt;"",LEN($D100)&gt;0,LEN($E100)&gt;0),COUNT($A$18:$A99)+1,"")</f>
      </c>
      <c r="B100" s="7">
        <f>IF(OFFSET('Inwentaryzacja'!$A$6,83,0)&lt;&gt;"",OFFSET('Inwentaryzacja'!$A$6,83,0),IF(AND(ISNUMBER($A99),COUNT($A100:$A$517)=0),"Spis zakończono na pozycji "&amp;$A99,""))</f>
      </c>
      <c r="C100" s="7">
        <f>IF(OR(OFFSET('Inwentaryzacja'!$A$6,83,0)="",OFFSET('Inwentaryzacja'!$B$6,83,0)=""),"",OFFSET('Inwentaryzacja'!$B$6,83,0))</f>
      </c>
      <c r="D100" s="7">
        <f>IF(OR(OFFSET('Inwentaryzacja'!$A$6,83,0)="",OFFSET('Inwentaryzacja'!$D$6,83,0)=""),"",OFFSET('Inwentaryzacja'!$D$6,83,0))</f>
      </c>
      <c r="F100" s="8">
        <f>IF(AND(ISNUMBER($D100),ISNUMBER($E100)),ROUND($D100*$E100,2),"")</f>
      </c>
    </row>
    <row r="101">
      <c r="A101" s="7">
        <f>IF(OR(OFFSET('Inwentaryzacja'!$A$6,84,0)&lt;&gt;"",LEN($D101)&gt;0,LEN($E101)&gt;0),COUNT($A$18:$A100)+1,"")</f>
      </c>
      <c r="B101" s="7">
        <f>IF(OFFSET('Inwentaryzacja'!$A$6,84,0)&lt;&gt;"",OFFSET('Inwentaryzacja'!$A$6,84,0),IF(AND(ISNUMBER($A100),COUNT($A101:$A$517)=0),"Spis zakończono na pozycji "&amp;$A100,""))</f>
      </c>
      <c r="C101" s="7">
        <f>IF(OR(OFFSET('Inwentaryzacja'!$A$6,84,0)="",OFFSET('Inwentaryzacja'!$B$6,84,0)=""),"",OFFSET('Inwentaryzacja'!$B$6,84,0))</f>
      </c>
      <c r="D101" s="7">
        <f>IF(OR(OFFSET('Inwentaryzacja'!$A$6,84,0)="",OFFSET('Inwentaryzacja'!$D$6,84,0)=""),"",OFFSET('Inwentaryzacja'!$D$6,84,0))</f>
      </c>
      <c r="F101" s="8">
        <f>IF(AND(ISNUMBER($D101),ISNUMBER($E101)),ROUND($D101*$E101,2),"")</f>
      </c>
    </row>
    <row r="102">
      <c r="A102" s="7">
        <f>IF(OR(OFFSET('Inwentaryzacja'!$A$6,85,0)&lt;&gt;"",LEN($D102)&gt;0,LEN($E102)&gt;0),COUNT($A$18:$A101)+1,"")</f>
      </c>
      <c r="B102" s="7">
        <f>IF(OFFSET('Inwentaryzacja'!$A$6,85,0)&lt;&gt;"",OFFSET('Inwentaryzacja'!$A$6,85,0),IF(AND(ISNUMBER($A101),COUNT($A102:$A$517)=0),"Spis zakończono na pozycji "&amp;$A101,""))</f>
      </c>
      <c r="C102" s="7">
        <f>IF(OR(OFFSET('Inwentaryzacja'!$A$6,85,0)="",OFFSET('Inwentaryzacja'!$B$6,85,0)=""),"",OFFSET('Inwentaryzacja'!$B$6,85,0))</f>
      </c>
      <c r="D102" s="7">
        <f>IF(OR(OFFSET('Inwentaryzacja'!$A$6,85,0)="",OFFSET('Inwentaryzacja'!$D$6,85,0)=""),"",OFFSET('Inwentaryzacja'!$D$6,85,0))</f>
      </c>
      <c r="F102" s="8">
        <f>IF(AND(ISNUMBER($D102),ISNUMBER($E102)),ROUND($D102*$E102,2),"")</f>
      </c>
    </row>
    <row r="103">
      <c r="A103" s="7">
        <f>IF(OR(OFFSET('Inwentaryzacja'!$A$6,86,0)&lt;&gt;"",LEN($D103)&gt;0,LEN($E103)&gt;0),COUNT($A$18:$A102)+1,"")</f>
      </c>
      <c r="B103" s="7">
        <f>IF(OFFSET('Inwentaryzacja'!$A$6,86,0)&lt;&gt;"",OFFSET('Inwentaryzacja'!$A$6,86,0),IF(AND(ISNUMBER($A102),COUNT($A103:$A$517)=0),"Spis zakończono na pozycji "&amp;$A102,""))</f>
      </c>
      <c r="C103" s="7">
        <f>IF(OR(OFFSET('Inwentaryzacja'!$A$6,86,0)="",OFFSET('Inwentaryzacja'!$B$6,86,0)=""),"",OFFSET('Inwentaryzacja'!$B$6,86,0))</f>
      </c>
      <c r="D103" s="7">
        <f>IF(OR(OFFSET('Inwentaryzacja'!$A$6,86,0)="",OFFSET('Inwentaryzacja'!$D$6,86,0)=""),"",OFFSET('Inwentaryzacja'!$D$6,86,0))</f>
      </c>
      <c r="F103" s="8">
        <f>IF(AND(ISNUMBER($D103),ISNUMBER($E103)),ROUND($D103*$E103,2),"")</f>
      </c>
    </row>
    <row r="104">
      <c r="A104" s="7">
        <f>IF(OR(OFFSET('Inwentaryzacja'!$A$6,87,0)&lt;&gt;"",LEN($D104)&gt;0,LEN($E104)&gt;0),COUNT($A$18:$A103)+1,"")</f>
      </c>
      <c r="B104" s="7">
        <f>IF(OFFSET('Inwentaryzacja'!$A$6,87,0)&lt;&gt;"",OFFSET('Inwentaryzacja'!$A$6,87,0),IF(AND(ISNUMBER($A103),COUNT($A104:$A$517)=0),"Spis zakończono na pozycji "&amp;$A103,""))</f>
      </c>
      <c r="C104" s="7">
        <f>IF(OR(OFFSET('Inwentaryzacja'!$A$6,87,0)="",OFFSET('Inwentaryzacja'!$B$6,87,0)=""),"",OFFSET('Inwentaryzacja'!$B$6,87,0))</f>
      </c>
      <c r="D104" s="7">
        <f>IF(OR(OFFSET('Inwentaryzacja'!$A$6,87,0)="",OFFSET('Inwentaryzacja'!$D$6,87,0)=""),"",OFFSET('Inwentaryzacja'!$D$6,87,0))</f>
      </c>
      <c r="F104" s="8">
        <f>IF(AND(ISNUMBER($D104),ISNUMBER($E104)),ROUND($D104*$E104,2),"")</f>
      </c>
    </row>
    <row r="105">
      <c r="A105" s="7">
        <f>IF(OR(OFFSET('Inwentaryzacja'!$A$6,88,0)&lt;&gt;"",LEN($D105)&gt;0,LEN($E105)&gt;0),COUNT($A$18:$A104)+1,"")</f>
      </c>
      <c r="B105" s="7">
        <f>IF(OFFSET('Inwentaryzacja'!$A$6,88,0)&lt;&gt;"",OFFSET('Inwentaryzacja'!$A$6,88,0),IF(AND(ISNUMBER($A104),COUNT($A105:$A$517)=0),"Spis zakończono na pozycji "&amp;$A104,""))</f>
      </c>
      <c r="C105" s="7">
        <f>IF(OR(OFFSET('Inwentaryzacja'!$A$6,88,0)="",OFFSET('Inwentaryzacja'!$B$6,88,0)=""),"",OFFSET('Inwentaryzacja'!$B$6,88,0))</f>
      </c>
      <c r="D105" s="7">
        <f>IF(OR(OFFSET('Inwentaryzacja'!$A$6,88,0)="",OFFSET('Inwentaryzacja'!$D$6,88,0)=""),"",OFFSET('Inwentaryzacja'!$D$6,88,0))</f>
      </c>
      <c r="F105" s="8">
        <f>IF(AND(ISNUMBER($D105),ISNUMBER($E105)),ROUND($D105*$E105,2),"")</f>
      </c>
    </row>
    <row r="106">
      <c r="A106" s="7">
        <f>IF(OR(OFFSET('Inwentaryzacja'!$A$6,89,0)&lt;&gt;"",LEN($D106)&gt;0,LEN($E106)&gt;0),COUNT($A$18:$A105)+1,"")</f>
      </c>
      <c r="B106" s="7">
        <f>IF(OFFSET('Inwentaryzacja'!$A$6,89,0)&lt;&gt;"",OFFSET('Inwentaryzacja'!$A$6,89,0),IF(AND(ISNUMBER($A105),COUNT($A106:$A$517)=0),"Spis zakończono na pozycji "&amp;$A105,""))</f>
      </c>
      <c r="C106" s="7">
        <f>IF(OR(OFFSET('Inwentaryzacja'!$A$6,89,0)="",OFFSET('Inwentaryzacja'!$B$6,89,0)=""),"",OFFSET('Inwentaryzacja'!$B$6,89,0))</f>
      </c>
      <c r="D106" s="7">
        <f>IF(OR(OFFSET('Inwentaryzacja'!$A$6,89,0)="",OFFSET('Inwentaryzacja'!$D$6,89,0)=""),"",OFFSET('Inwentaryzacja'!$D$6,89,0))</f>
      </c>
      <c r="F106" s="8">
        <f>IF(AND(ISNUMBER($D106),ISNUMBER($E106)),ROUND($D106*$E106,2),"")</f>
      </c>
    </row>
    <row r="107">
      <c r="A107" s="7">
        <f>IF(OR(OFFSET('Inwentaryzacja'!$A$6,90,0)&lt;&gt;"",LEN($D107)&gt;0,LEN($E107)&gt;0),COUNT($A$18:$A106)+1,"")</f>
      </c>
      <c r="B107" s="7">
        <f>IF(OFFSET('Inwentaryzacja'!$A$6,90,0)&lt;&gt;"",OFFSET('Inwentaryzacja'!$A$6,90,0),IF(AND(ISNUMBER($A106),COUNT($A107:$A$517)=0),"Spis zakończono na pozycji "&amp;$A106,""))</f>
      </c>
      <c r="C107" s="7">
        <f>IF(OR(OFFSET('Inwentaryzacja'!$A$6,90,0)="",OFFSET('Inwentaryzacja'!$B$6,90,0)=""),"",OFFSET('Inwentaryzacja'!$B$6,90,0))</f>
      </c>
      <c r="D107" s="7">
        <f>IF(OR(OFFSET('Inwentaryzacja'!$A$6,90,0)="",OFFSET('Inwentaryzacja'!$D$6,90,0)=""),"",OFFSET('Inwentaryzacja'!$D$6,90,0))</f>
      </c>
      <c r="F107" s="8">
        <f>IF(AND(ISNUMBER($D107),ISNUMBER($E107)),ROUND($D107*$E107,2),"")</f>
      </c>
    </row>
    <row r="108">
      <c r="A108" s="7">
        <f>IF(OR(OFFSET('Inwentaryzacja'!$A$6,91,0)&lt;&gt;"",LEN($D108)&gt;0,LEN($E108)&gt;0),COUNT($A$18:$A107)+1,"")</f>
      </c>
      <c r="B108" s="7">
        <f>IF(OFFSET('Inwentaryzacja'!$A$6,91,0)&lt;&gt;"",OFFSET('Inwentaryzacja'!$A$6,91,0),IF(AND(ISNUMBER($A107),COUNT($A108:$A$517)=0),"Spis zakończono na pozycji "&amp;$A107,""))</f>
      </c>
      <c r="C108" s="7">
        <f>IF(OR(OFFSET('Inwentaryzacja'!$A$6,91,0)="",OFFSET('Inwentaryzacja'!$B$6,91,0)=""),"",OFFSET('Inwentaryzacja'!$B$6,91,0))</f>
      </c>
      <c r="D108" s="7">
        <f>IF(OR(OFFSET('Inwentaryzacja'!$A$6,91,0)="",OFFSET('Inwentaryzacja'!$D$6,91,0)=""),"",OFFSET('Inwentaryzacja'!$D$6,91,0))</f>
      </c>
      <c r="F108" s="8">
        <f>IF(AND(ISNUMBER($D108),ISNUMBER($E108)),ROUND($D108*$E108,2),"")</f>
      </c>
    </row>
    <row r="109">
      <c r="A109" s="7">
        <f>IF(OR(OFFSET('Inwentaryzacja'!$A$6,92,0)&lt;&gt;"",LEN($D109)&gt;0,LEN($E109)&gt;0),COUNT($A$18:$A108)+1,"")</f>
      </c>
      <c r="B109" s="7">
        <f>IF(OFFSET('Inwentaryzacja'!$A$6,92,0)&lt;&gt;"",OFFSET('Inwentaryzacja'!$A$6,92,0),IF(AND(ISNUMBER($A108),COUNT($A109:$A$517)=0),"Spis zakończono na pozycji "&amp;$A108,""))</f>
      </c>
      <c r="C109" s="7">
        <f>IF(OR(OFFSET('Inwentaryzacja'!$A$6,92,0)="",OFFSET('Inwentaryzacja'!$B$6,92,0)=""),"",OFFSET('Inwentaryzacja'!$B$6,92,0))</f>
      </c>
      <c r="D109" s="7">
        <f>IF(OR(OFFSET('Inwentaryzacja'!$A$6,92,0)="",OFFSET('Inwentaryzacja'!$D$6,92,0)=""),"",OFFSET('Inwentaryzacja'!$D$6,92,0))</f>
      </c>
      <c r="F109" s="8">
        <f>IF(AND(ISNUMBER($D109),ISNUMBER($E109)),ROUND($D109*$E109,2),"")</f>
      </c>
    </row>
    <row r="110">
      <c r="A110" s="7">
        <f>IF(OR(OFFSET('Inwentaryzacja'!$A$6,93,0)&lt;&gt;"",LEN($D110)&gt;0,LEN($E110)&gt;0),COUNT($A$18:$A109)+1,"")</f>
      </c>
      <c r="B110" s="7">
        <f>IF(OFFSET('Inwentaryzacja'!$A$6,93,0)&lt;&gt;"",OFFSET('Inwentaryzacja'!$A$6,93,0),IF(AND(ISNUMBER($A109),COUNT($A110:$A$517)=0),"Spis zakończono na pozycji "&amp;$A109,""))</f>
      </c>
      <c r="C110" s="7">
        <f>IF(OR(OFFSET('Inwentaryzacja'!$A$6,93,0)="",OFFSET('Inwentaryzacja'!$B$6,93,0)=""),"",OFFSET('Inwentaryzacja'!$B$6,93,0))</f>
      </c>
      <c r="D110" s="7">
        <f>IF(OR(OFFSET('Inwentaryzacja'!$A$6,93,0)="",OFFSET('Inwentaryzacja'!$D$6,93,0)=""),"",OFFSET('Inwentaryzacja'!$D$6,93,0))</f>
      </c>
      <c r="F110" s="8">
        <f>IF(AND(ISNUMBER($D110),ISNUMBER($E110)),ROUND($D110*$E110,2),"")</f>
      </c>
    </row>
    <row r="111">
      <c r="A111" s="7">
        <f>IF(OR(OFFSET('Inwentaryzacja'!$A$6,94,0)&lt;&gt;"",LEN($D111)&gt;0,LEN($E111)&gt;0),COUNT($A$18:$A110)+1,"")</f>
      </c>
      <c r="B111" s="7">
        <f>IF(OFFSET('Inwentaryzacja'!$A$6,94,0)&lt;&gt;"",OFFSET('Inwentaryzacja'!$A$6,94,0),IF(AND(ISNUMBER($A110),COUNT($A111:$A$517)=0),"Spis zakończono na pozycji "&amp;$A110,""))</f>
      </c>
      <c r="C111" s="7">
        <f>IF(OR(OFFSET('Inwentaryzacja'!$A$6,94,0)="",OFFSET('Inwentaryzacja'!$B$6,94,0)=""),"",OFFSET('Inwentaryzacja'!$B$6,94,0))</f>
      </c>
      <c r="D111" s="7">
        <f>IF(OR(OFFSET('Inwentaryzacja'!$A$6,94,0)="",OFFSET('Inwentaryzacja'!$D$6,94,0)=""),"",OFFSET('Inwentaryzacja'!$D$6,94,0))</f>
      </c>
      <c r="F111" s="8">
        <f>IF(AND(ISNUMBER($D111),ISNUMBER($E111)),ROUND($D111*$E111,2),"")</f>
      </c>
    </row>
    <row r="112">
      <c r="A112" s="7">
        <f>IF(OR(OFFSET('Inwentaryzacja'!$A$6,95,0)&lt;&gt;"",LEN($D112)&gt;0,LEN($E112)&gt;0),COUNT($A$18:$A111)+1,"")</f>
      </c>
      <c r="B112" s="7">
        <f>IF(OFFSET('Inwentaryzacja'!$A$6,95,0)&lt;&gt;"",OFFSET('Inwentaryzacja'!$A$6,95,0),IF(AND(ISNUMBER($A111),COUNT($A112:$A$517)=0),"Spis zakończono na pozycji "&amp;$A111,""))</f>
      </c>
      <c r="C112" s="7">
        <f>IF(OR(OFFSET('Inwentaryzacja'!$A$6,95,0)="",OFFSET('Inwentaryzacja'!$B$6,95,0)=""),"",OFFSET('Inwentaryzacja'!$B$6,95,0))</f>
      </c>
      <c r="D112" s="7">
        <f>IF(OR(OFFSET('Inwentaryzacja'!$A$6,95,0)="",OFFSET('Inwentaryzacja'!$D$6,95,0)=""),"",OFFSET('Inwentaryzacja'!$D$6,95,0))</f>
      </c>
      <c r="F112" s="8">
        <f>IF(AND(ISNUMBER($D112),ISNUMBER($E112)),ROUND($D112*$E112,2),"")</f>
      </c>
    </row>
    <row r="113">
      <c r="A113" s="7">
        <f>IF(OR(OFFSET('Inwentaryzacja'!$A$6,96,0)&lt;&gt;"",LEN($D113)&gt;0,LEN($E113)&gt;0),COUNT($A$18:$A112)+1,"")</f>
      </c>
      <c r="B113" s="7">
        <f>IF(OFFSET('Inwentaryzacja'!$A$6,96,0)&lt;&gt;"",OFFSET('Inwentaryzacja'!$A$6,96,0),IF(AND(ISNUMBER($A112),COUNT($A113:$A$517)=0),"Spis zakończono na pozycji "&amp;$A112,""))</f>
      </c>
      <c r="C113" s="7">
        <f>IF(OR(OFFSET('Inwentaryzacja'!$A$6,96,0)="",OFFSET('Inwentaryzacja'!$B$6,96,0)=""),"",OFFSET('Inwentaryzacja'!$B$6,96,0))</f>
      </c>
      <c r="D113" s="7">
        <f>IF(OR(OFFSET('Inwentaryzacja'!$A$6,96,0)="",OFFSET('Inwentaryzacja'!$D$6,96,0)=""),"",OFFSET('Inwentaryzacja'!$D$6,96,0))</f>
      </c>
      <c r="F113" s="8">
        <f>IF(AND(ISNUMBER($D113),ISNUMBER($E113)),ROUND($D113*$E113,2),"")</f>
      </c>
    </row>
    <row r="114">
      <c r="A114" s="7">
        <f>IF(OR(OFFSET('Inwentaryzacja'!$A$6,97,0)&lt;&gt;"",LEN($D114)&gt;0,LEN($E114)&gt;0),COUNT($A$18:$A113)+1,"")</f>
      </c>
      <c r="B114" s="7">
        <f>IF(OFFSET('Inwentaryzacja'!$A$6,97,0)&lt;&gt;"",OFFSET('Inwentaryzacja'!$A$6,97,0),IF(AND(ISNUMBER($A113),COUNT($A114:$A$517)=0),"Spis zakończono na pozycji "&amp;$A113,""))</f>
      </c>
      <c r="C114" s="7">
        <f>IF(OR(OFFSET('Inwentaryzacja'!$A$6,97,0)="",OFFSET('Inwentaryzacja'!$B$6,97,0)=""),"",OFFSET('Inwentaryzacja'!$B$6,97,0))</f>
      </c>
      <c r="D114" s="7">
        <f>IF(OR(OFFSET('Inwentaryzacja'!$A$6,97,0)="",OFFSET('Inwentaryzacja'!$D$6,97,0)=""),"",OFFSET('Inwentaryzacja'!$D$6,97,0))</f>
      </c>
      <c r="F114" s="8">
        <f>IF(AND(ISNUMBER($D114),ISNUMBER($E114)),ROUND($D114*$E114,2),"")</f>
      </c>
    </row>
    <row r="115">
      <c r="A115" s="7">
        <f>IF(OR(OFFSET('Inwentaryzacja'!$A$6,98,0)&lt;&gt;"",LEN($D115)&gt;0,LEN($E115)&gt;0),COUNT($A$18:$A114)+1,"")</f>
      </c>
      <c r="B115" s="7">
        <f>IF(OFFSET('Inwentaryzacja'!$A$6,98,0)&lt;&gt;"",OFFSET('Inwentaryzacja'!$A$6,98,0),IF(AND(ISNUMBER($A114),COUNT($A115:$A$517)=0),"Spis zakończono na pozycji "&amp;$A114,""))</f>
      </c>
      <c r="C115" s="7">
        <f>IF(OR(OFFSET('Inwentaryzacja'!$A$6,98,0)="",OFFSET('Inwentaryzacja'!$B$6,98,0)=""),"",OFFSET('Inwentaryzacja'!$B$6,98,0))</f>
      </c>
      <c r="D115" s="7">
        <f>IF(OR(OFFSET('Inwentaryzacja'!$A$6,98,0)="",OFFSET('Inwentaryzacja'!$D$6,98,0)=""),"",OFFSET('Inwentaryzacja'!$D$6,98,0))</f>
      </c>
      <c r="F115" s="8">
        <f>IF(AND(ISNUMBER($D115),ISNUMBER($E115)),ROUND($D115*$E115,2),"")</f>
      </c>
    </row>
    <row r="116">
      <c r="A116" s="7">
        <f>IF(OR(OFFSET('Inwentaryzacja'!$A$6,99,0)&lt;&gt;"",LEN($D116)&gt;0,LEN($E116)&gt;0),COUNT($A$18:$A115)+1,"")</f>
      </c>
      <c r="B116" s="7">
        <f>IF(OFFSET('Inwentaryzacja'!$A$6,99,0)&lt;&gt;"",OFFSET('Inwentaryzacja'!$A$6,99,0),IF(AND(ISNUMBER($A115),COUNT($A116:$A$517)=0),"Spis zakończono na pozycji "&amp;$A115,""))</f>
      </c>
      <c r="C116" s="7">
        <f>IF(OR(OFFSET('Inwentaryzacja'!$A$6,99,0)="",OFFSET('Inwentaryzacja'!$B$6,99,0)=""),"",OFFSET('Inwentaryzacja'!$B$6,99,0))</f>
      </c>
      <c r="D116" s="7">
        <f>IF(OR(OFFSET('Inwentaryzacja'!$A$6,99,0)="",OFFSET('Inwentaryzacja'!$D$6,99,0)=""),"",OFFSET('Inwentaryzacja'!$D$6,99,0))</f>
      </c>
      <c r="F116" s="8">
        <f>IF(AND(ISNUMBER($D116),ISNUMBER($E116)),ROUND($D116*$E116,2),"")</f>
      </c>
    </row>
    <row r="117">
      <c r="A117" s="7">
        <f>IF(OR(OFFSET('Inwentaryzacja'!$A$6,100,0)&lt;&gt;"",LEN($D117)&gt;0,LEN($E117)&gt;0),COUNT($A$18:$A116)+1,"")</f>
      </c>
      <c r="B117" s="7">
        <f>IF(OFFSET('Inwentaryzacja'!$A$6,100,0)&lt;&gt;"",OFFSET('Inwentaryzacja'!$A$6,100,0),IF(AND(ISNUMBER($A116),COUNT($A117:$A$517)=0),"Spis zakończono na pozycji "&amp;$A116,""))</f>
      </c>
      <c r="C117" s="7">
        <f>IF(OR(OFFSET('Inwentaryzacja'!$A$6,100,0)="",OFFSET('Inwentaryzacja'!$B$6,100,0)=""),"",OFFSET('Inwentaryzacja'!$B$6,100,0))</f>
      </c>
      <c r="D117" s="7">
        <f>IF(OR(OFFSET('Inwentaryzacja'!$A$6,100,0)="",OFFSET('Inwentaryzacja'!$D$6,100,0)=""),"",OFFSET('Inwentaryzacja'!$D$6,100,0))</f>
      </c>
      <c r="F117" s="8">
        <f>IF(AND(ISNUMBER($D117),ISNUMBER($E117)),ROUND($D117*$E117,2),"")</f>
      </c>
    </row>
    <row r="118">
      <c r="A118" s="7">
        <f>IF(OR(OFFSET('Inwentaryzacja'!$A$6,101,0)&lt;&gt;"",LEN($D118)&gt;0,LEN($E118)&gt;0),COUNT($A$18:$A117)+1,"")</f>
      </c>
      <c r="B118" s="7">
        <f>IF(OFFSET('Inwentaryzacja'!$A$6,101,0)&lt;&gt;"",OFFSET('Inwentaryzacja'!$A$6,101,0),IF(AND(ISNUMBER($A117),COUNT($A118:$A$517)=0),"Spis zakończono na pozycji "&amp;$A117,""))</f>
      </c>
      <c r="C118" s="7">
        <f>IF(OR(OFFSET('Inwentaryzacja'!$A$6,101,0)="",OFFSET('Inwentaryzacja'!$B$6,101,0)=""),"",OFFSET('Inwentaryzacja'!$B$6,101,0))</f>
      </c>
      <c r="D118" s="7">
        <f>IF(OR(OFFSET('Inwentaryzacja'!$A$6,101,0)="",OFFSET('Inwentaryzacja'!$D$6,101,0)=""),"",OFFSET('Inwentaryzacja'!$D$6,101,0))</f>
      </c>
      <c r="F118" s="8">
        <f>IF(AND(ISNUMBER($D118),ISNUMBER($E118)),ROUND($D118*$E118,2),"")</f>
      </c>
    </row>
    <row r="119">
      <c r="A119" s="7">
        <f>IF(OR(OFFSET('Inwentaryzacja'!$A$6,102,0)&lt;&gt;"",LEN($D119)&gt;0,LEN($E119)&gt;0),COUNT($A$18:$A118)+1,"")</f>
      </c>
      <c r="B119" s="7">
        <f>IF(OFFSET('Inwentaryzacja'!$A$6,102,0)&lt;&gt;"",OFFSET('Inwentaryzacja'!$A$6,102,0),IF(AND(ISNUMBER($A118),COUNT($A119:$A$517)=0),"Spis zakończono na pozycji "&amp;$A118,""))</f>
      </c>
      <c r="C119" s="7">
        <f>IF(OR(OFFSET('Inwentaryzacja'!$A$6,102,0)="",OFFSET('Inwentaryzacja'!$B$6,102,0)=""),"",OFFSET('Inwentaryzacja'!$B$6,102,0))</f>
      </c>
      <c r="D119" s="7">
        <f>IF(OR(OFFSET('Inwentaryzacja'!$A$6,102,0)="",OFFSET('Inwentaryzacja'!$D$6,102,0)=""),"",OFFSET('Inwentaryzacja'!$D$6,102,0))</f>
      </c>
      <c r="F119" s="8">
        <f>IF(AND(ISNUMBER($D119),ISNUMBER($E119)),ROUND($D119*$E119,2),"")</f>
      </c>
    </row>
    <row r="120">
      <c r="A120" s="7">
        <f>IF(OR(OFFSET('Inwentaryzacja'!$A$6,103,0)&lt;&gt;"",LEN($D120)&gt;0,LEN($E120)&gt;0),COUNT($A$18:$A119)+1,"")</f>
      </c>
      <c r="B120" s="7">
        <f>IF(OFFSET('Inwentaryzacja'!$A$6,103,0)&lt;&gt;"",OFFSET('Inwentaryzacja'!$A$6,103,0),IF(AND(ISNUMBER($A119),COUNT($A120:$A$517)=0),"Spis zakończono na pozycji "&amp;$A119,""))</f>
      </c>
      <c r="C120" s="7">
        <f>IF(OR(OFFSET('Inwentaryzacja'!$A$6,103,0)="",OFFSET('Inwentaryzacja'!$B$6,103,0)=""),"",OFFSET('Inwentaryzacja'!$B$6,103,0))</f>
      </c>
      <c r="D120" s="7">
        <f>IF(OR(OFFSET('Inwentaryzacja'!$A$6,103,0)="",OFFSET('Inwentaryzacja'!$D$6,103,0)=""),"",OFFSET('Inwentaryzacja'!$D$6,103,0))</f>
      </c>
      <c r="F120" s="8">
        <f>IF(AND(ISNUMBER($D120),ISNUMBER($E120)),ROUND($D120*$E120,2),"")</f>
      </c>
    </row>
    <row r="121">
      <c r="A121" s="7">
        <f>IF(OR(OFFSET('Inwentaryzacja'!$A$6,104,0)&lt;&gt;"",LEN($D121)&gt;0,LEN($E121)&gt;0),COUNT($A$18:$A120)+1,"")</f>
      </c>
      <c r="B121" s="7">
        <f>IF(OFFSET('Inwentaryzacja'!$A$6,104,0)&lt;&gt;"",OFFSET('Inwentaryzacja'!$A$6,104,0),IF(AND(ISNUMBER($A120),COUNT($A121:$A$517)=0),"Spis zakończono na pozycji "&amp;$A120,""))</f>
      </c>
      <c r="C121" s="7">
        <f>IF(OR(OFFSET('Inwentaryzacja'!$A$6,104,0)="",OFFSET('Inwentaryzacja'!$B$6,104,0)=""),"",OFFSET('Inwentaryzacja'!$B$6,104,0))</f>
      </c>
      <c r="D121" s="7">
        <f>IF(OR(OFFSET('Inwentaryzacja'!$A$6,104,0)="",OFFSET('Inwentaryzacja'!$D$6,104,0)=""),"",OFFSET('Inwentaryzacja'!$D$6,104,0))</f>
      </c>
      <c r="F121" s="8">
        <f>IF(AND(ISNUMBER($D121),ISNUMBER($E121)),ROUND($D121*$E121,2),"")</f>
      </c>
    </row>
    <row r="122">
      <c r="A122" s="7">
        <f>IF(OR(OFFSET('Inwentaryzacja'!$A$6,105,0)&lt;&gt;"",LEN($D122)&gt;0,LEN($E122)&gt;0),COUNT($A$18:$A121)+1,"")</f>
      </c>
      <c r="B122" s="7">
        <f>IF(OFFSET('Inwentaryzacja'!$A$6,105,0)&lt;&gt;"",OFFSET('Inwentaryzacja'!$A$6,105,0),IF(AND(ISNUMBER($A121),COUNT($A122:$A$517)=0),"Spis zakończono na pozycji "&amp;$A121,""))</f>
      </c>
      <c r="C122" s="7">
        <f>IF(OR(OFFSET('Inwentaryzacja'!$A$6,105,0)="",OFFSET('Inwentaryzacja'!$B$6,105,0)=""),"",OFFSET('Inwentaryzacja'!$B$6,105,0))</f>
      </c>
      <c r="D122" s="7">
        <f>IF(OR(OFFSET('Inwentaryzacja'!$A$6,105,0)="",OFFSET('Inwentaryzacja'!$D$6,105,0)=""),"",OFFSET('Inwentaryzacja'!$D$6,105,0))</f>
      </c>
      <c r="F122" s="8">
        <f>IF(AND(ISNUMBER($D122),ISNUMBER($E122)),ROUND($D122*$E122,2),"")</f>
      </c>
    </row>
    <row r="123">
      <c r="A123" s="7">
        <f>IF(OR(OFFSET('Inwentaryzacja'!$A$6,106,0)&lt;&gt;"",LEN($D123)&gt;0,LEN($E123)&gt;0),COUNT($A$18:$A122)+1,"")</f>
      </c>
      <c r="B123" s="7">
        <f>IF(OFFSET('Inwentaryzacja'!$A$6,106,0)&lt;&gt;"",OFFSET('Inwentaryzacja'!$A$6,106,0),IF(AND(ISNUMBER($A122),COUNT($A123:$A$517)=0),"Spis zakończono na pozycji "&amp;$A122,""))</f>
      </c>
      <c r="C123" s="7">
        <f>IF(OR(OFFSET('Inwentaryzacja'!$A$6,106,0)="",OFFSET('Inwentaryzacja'!$B$6,106,0)=""),"",OFFSET('Inwentaryzacja'!$B$6,106,0))</f>
      </c>
      <c r="D123" s="7">
        <f>IF(OR(OFFSET('Inwentaryzacja'!$A$6,106,0)="",OFFSET('Inwentaryzacja'!$D$6,106,0)=""),"",OFFSET('Inwentaryzacja'!$D$6,106,0))</f>
      </c>
      <c r="F123" s="8">
        <f>IF(AND(ISNUMBER($D123),ISNUMBER($E123)),ROUND($D123*$E123,2),"")</f>
      </c>
    </row>
    <row r="124">
      <c r="A124" s="7">
        <f>IF(OR(OFFSET('Inwentaryzacja'!$A$6,107,0)&lt;&gt;"",LEN($D124)&gt;0,LEN($E124)&gt;0),COUNT($A$18:$A123)+1,"")</f>
      </c>
      <c r="B124" s="7">
        <f>IF(OFFSET('Inwentaryzacja'!$A$6,107,0)&lt;&gt;"",OFFSET('Inwentaryzacja'!$A$6,107,0),IF(AND(ISNUMBER($A123),COUNT($A124:$A$517)=0),"Spis zakończono na pozycji "&amp;$A123,""))</f>
      </c>
      <c r="C124" s="7">
        <f>IF(OR(OFFSET('Inwentaryzacja'!$A$6,107,0)="",OFFSET('Inwentaryzacja'!$B$6,107,0)=""),"",OFFSET('Inwentaryzacja'!$B$6,107,0))</f>
      </c>
      <c r="D124" s="7">
        <f>IF(OR(OFFSET('Inwentaryzacja'!$A$6,107,0)="",OFFSET('Inwentaryzacja'!$D$6,107,0)=""),"",OFFSET('Inwentaryzacja'!$D$6,107,0))</f>
      </c>
      <c r="F124" s="8">
        <f>IF(AND(ISNUMBER($D124),ISNUMBER($E124)),ROUND($D124*$E124,2),"")</f>
      </c>
    </row>
    <row r="125">
      <c r="A125" s="7">
        <f>IF(OR(OFFSET('Inwentaryzacja'!$A$6,108,0)&lt;&gt;"",LEN($D125)&gt;0,LEN($E125)&gt;0),COUNT($A$18:$A124)+1,"")</f>
      </c>
      <c r="B125" s="7">
        <f>IF(OFFSET('Inwentaryzacja'!$A$6,108,0)&lt;&gt;"",OFFSET('Inwentaryzacja'!$A$6,108,0),IF(AND(ISNUMBER($A124),COUNT($A125:$A$517)=0),"Spis zakończono na pozycji "&amp;$A124,""))</f>
      </c>
      <c r="C125" s="7">
        <f>IF(OR(OFFSET('Inwentaryzacja'!$A$6,108,0)="",OFFSET('Inwentaryzacja'!$B$6,108,0)=""),"",OFFSET('Inwentaryzacja'!$B$6,108,0))</f>
      </c>
      <c r="D125" s="7">
        <f>IF(OR(OFFSET('Inwentaryzacja'!$A$6,108,0)="",OFFSET('Inwentaryzacja'!$D$6,108,0)=""),"",OFFSET('Inwentaryzacja'!$D$6,108,0))</f>
      </c>
      <c r="F125" s="8">
        <f>IF(AND(ISNUMBER($D125),ISNUMBER($E125)),ROUND($D125*$E125,2),"")</f>
      </c>
    </row>
    <row r="126">
      <c r="A126" s="7">
        <f>IF(OR(OFFSET('Inwentaryzacja'!$A$6,109,0)&lt;&gt;"",LEN($D126)&gt;0,LEN($E126)&gt;0),COUNT($A$18:$A125)+1,"")</f>
      </c>
      <c r="B126" s="7">
        <f>IF(OFFSET('Inwentaryzacja'!$A$6,109,0)&lt;&gt;"",OFFSET('Inwentaryzacja'!$A$6,109,0),IF(AND(ISNUMBER($A125),COUNT($A126:$A$517)=0),"Spis zakończono na pozycji "&amp;$A125,""))</f>
      </c>
      <c r="C126" s="7">
        <f>IF(OR(OFFSET('Inwentaryzacja'!$A$6,109,0)="",OFFSET('Inwentaryzacja'!$B$6,109,0)=""),"",OFFSET('Inwentaryzacja'!$B$6,109,0))</f>
      </c>
      <c r="D126" s="7">
        <f>IF(OR(OFFSET('Inwentaryzacja'!$A$6,109,0)="",OFFSET('Inwentaryzacja'!$D$6,109,0)=""),"",OFFSET('Inwentaryzacja'!$D$6,109,0))</f>
      </c>
      <c r="F126" s="8">
        <f>IF(AND(ISNUMBER($D126),ISNUMBER($E126)),ROUND($D126*$E126,2),"")</f>
      </c>
    </row>
    <row r="127">
      <c r="A127" s="7">
        <f>IF(OR(OFFSET('Inwentaryzacja'!$A$6,110,0)&lt;&gt;"",LEN($D127)&gt;0,LEN($E127)&gt;0),COUNT($A$18:$A126)+1,"")</f>
      </c>
      <c r="B127" s="7">
        <f>IF(OFFSET('Inwentaryzacja'!$A$6,110,0)&lt;&gt;"",OFFSET('Inwentaryzacja'!$A$6,110,0),IF(AND(ISNUMBER($A126),COUNT($A127:$A$517)=0),"Spis zakończono na pozycji "&amp;$A126,""))</f>
      </c>
      <c r="C127" s="7">
        <f>IF(OR(OFFSET('Inwentaryzacja'!$A$6,110,0)="",OFFSET('Inwentaryzacja'!$B$6,110,0)=""),"",OFFSET('Inwentaryzacja'!$B$6,110,0))</f>
      </c>
      <c r="D127" s="7">
        <f>IF(OR(OFFSET('Inwentaryzacja'!$A$6,110,0)="",OFFSET('Inwentaryzacja'!$D$6,110,0)=""),"",OFFSET('Inwentaryzacja'!$D$6,110,0))</f>
      </c>
      <c r="F127" s="8">
        <f>IF(AND(ISNUMBER($D127),ISNUMBER($E127)),ROUND($D127*$E127,2),"")</f>
      </c>
    </row>
    <row r="128">
      <c r="A128" s="7">
        <f>IF(OR(OFFSET('Inwentaryzacja'!$A$6,111,0)&lt;&gt;"",LEN($D128)&gt;0,LEN($E128)&gt;0),COUNT($A$18:$A127)+1,"")</f>
      </c>
      <c r="B128" s="7">
        <f>IF(OFFSET('Inwentaryzacja'!$A$6,111,0)&lt;&gt;"",OFFSET('Inwentaryzacja'!$A$6,111,0),IF(AND(ISNUMBER($A127),COUNT($A128:$A$517)=0),"Spis zakończono na pozycji "&amp;$A127,""))</f>
      </c>
      <c r="C128" s="7">
        <f>IF(OR(OFFSET('Inwentaryzacja'!$A$6,111,0)="",OFFSET('Inwentaryzacja'!$B$6,111,0)=""),"",OFFSET('Inwentaryzacja'!$B$6,111,0))</f>
      </c>
      <c r="D128" s="7">
        <f>IF(OR(OFFSET('Inwentaryzacja'!$A$6,111,0)="",OFFSET('Inwentaryzacja'!$D$6,111,0)=""),"",OFFSET('Inwentaryzacja'!$D$6,111,0))</f>
      </c>
      <c r="F128" s="8">
        <f>IF(AND(ISNUMBER($D128),ISNUMBER($E128)),ROUND($D128*$E128,2),"")</f>
      </c>
    </row>
    <row r="129">
      <c r="A129" s="7">
        <f>IF(OR(OFFSET('Inwentaryzacja'!$A$6,112,0)&lt;&gt;"",LEN($D129)&gt;0,LEN($E129)&gt;0),COUNT($A$18:$A128)+1,"")</f>
      </c>
      <c r="B129" s="7">
        <f>IF(OFFSET('Inwentaryzacja'!$A$6,112,0)&lt;&gt;"",OFFSET('Inwentaryzacja'!$A$6,112,0),IF(AND(ISNUMBER($A128),COUNT($A129:$A$517)=0),"Spis zakończono na pozycji "&amp;$A128,""))</f>
      </c>
      <c r="C129" s="7">
        <f>IF(OR(OFFSET('Inwentaryzacja'!$A$6,112,0)="",OFFSET('Inwentaryzacja'!$B$6,112,0)=""),"",OFFSET('Inwentaryzacja'!$B$6,112,0))</f>
      </c>
      <c r="D129" s="7">
        <f>IF(OR(OFFSET('Inwentaryzacja'!$A$6,112,0)="",OFFSET('Inwentaryzacja'!$D$6,112,0)=""),"",OFFSET('Inwentaryzacja'!$D$6,112,0))</f>
      </c>
      <c r="F129" s="8">
        <f>IF(AND(ISNUMBER($D129),ISNUMBER($E129)),ROUND($D129*$E129,2),"")</f>
      </c>
    </row>
    <row r="130">
      <c r="A130" s="7">
        <f>IF(OR(OFFSET('Inwentaryzacja'!$A$6,113,0)&lt;&gt;"",LEN($D130)&gt;0,LEN($E130)&gt;0),COUNT($A$18:$A129)+1,"")</f>
      </c>
      <c r="B130" s="7">
        <f>IF(OFFSET('Inwentaryzacja'!$A$6,113,0)&lt;&gt;"",OFFSET('Inwentaryzacja'!$A$6,113,0),IF(AND(ISNUMBER($A129),COUNT($A130:$A$517)=0),"Spis zakończono na pozycji "&amp;$A129,""))</f>
      </c>
      <c r="C130" s="7">
        <f>IF(OR(OFFSET('Inwentaryzacja'!$A$6,113,0)="",OFFSET('Inwentaryzacja'!$B$6,113,0)=""),"",OFFSET('Inwentaryzacja'!$B$6,113,0))</f>
      </c>
      <c r="D130" s="7">
        <f>IF(OR(OFFSET('Inwentaryzacja'!$A$6,113,0)="",OFFSET('Inwentaryzacja'!$D$6,113,0)=""),"",OFFSET('Inwentaryzacja'!$D$6,113,0))</f>
      </c>
      <c r="F130" s="8">
        <f>IF(AND(ISNUMBER($D130),ISNUMBER($E130)),ROUND($D130*$E130,2),"")</f>
      </c>
    </row>
    <row r="131">
      <c r="A131" s="7">
        <f>IF(OR(OFFSET('Inwentaryzacja'!$A$6,114,0)&lt;&gt;"",LEN($D131)&gt;0,LEN($E131)&gt;0),COUNT($A$18:$A130)+1,"")</f>
      </c>
      <c r="B131" s="7">
        <f>IF(OFFSET('Inwentaryzacja'!$A$6,114,0)&lt;&gt;"",OFFSET('Inwentaryzacja'!$A$6,114,0),IF(AND(ISNUMBER($A130),COUNT($A131:$A$517)=0),"Spis zakończono na pozycji "&amp;$A130,""))</f>
      </c>
      <c r="C131" s="7">
        <f>IF(OR(OFFSET('Inwentaryzacja'!$A$6,114,0)="",OFFSET('Inwentaryzacja'!$B$6,114,0)=""),"",OFFSET('Inwentaryzacja'!$B$6,114,0))</f>
      </c>
      <c r="D131" s="7">
        <f>IF(OR(OFFSET('Inwentaryzacja'!$A$6,114,0)="",OFFSET('Inwentaryzacja'!$D$6,114,0)=""),"",OFFSET('Inwentaryzacja'!$D$6,114,0))</f>
      </c>
      <c r="F131" s="8">
        <f>IF(AND(ISNUMBER($D131),ISNUMBER($E131)),ROUND($D131*$E131,2),"")</f>
      </c>
    </row>
    <row r="132">
      <c r="A132" s="7">
        <f>IF(OR(OFFSET('Inwentaryzacja'!$A$6,115,0)&lt;&gt;"",LEN($D132)&gt;0,LEN($E132)&gt;0),COUNT($A$18:$A131)+1,"")</f>
      </c>
      <c r="B132" s="7">
        <f>IF(OFFSET('Inwentaryzacja'!$A$6,115,0)&lt;&gt;"",OFFSET('Inwentaryzacja'!$A$6,115,0),IF(AND(ISNUMBER($A131),COUNT($A132:$A$517)=0),"Spis zakończono na pozycji "&amp;$A131,""))</f>
      </c>
      <c r="C132" s="7">
        <f>IF(OR(OFFSET('Inwentaryzacja'!$A$6,115,0)="",OFFSET('Inwentaryzacja'!$B$6,115,0)=""),"",OFFSET('Inwentaryzacja'!$B$6,115,0))</f>
      </c>
      <c r="D132" s="7">
        <f>IF(OR(OFFSET('Inwentaryzacja'!$A$6,115,0)="",OFFSET('Inwentaryzacja'!$D$6,115,0)=""),"",OFFSET('Inwentaryzacja'!$D$6,115,0))</f>
      </c>
      <c r="F132" s="8">
        <f>IF(AND(ISNUMBER($D132),ISNUMBER($E132)),ROUND($D132*$E132,2),"")</f>
      </c>
    </row>
    <row r="133">
      <c r="A133" s="7">
        <f>IF(OR(OFFSET('Inwentaryzacja'!$A$6,116,0)&lt;&gt;"",LEN($D133)&gt;0,LEN($E133)&gt;0),COUNT($A$18:$A132)+1,"")</f>
      </c>
      <c r="B133" s="7">
        <f>IF(OFFSET('Inwentaryzacja'!$A$6,116,0)&lt;&gt;"",OFFSET('Inwentaryzacja'!$A$6,116,0),IF(AND(ISNUMBER($A132),COUNT($A133:$A$517)=0),"Spis zakończono na pozycji "&amp;$A132,""))</f>
      </c>
      <c r="C133" s="7">
        <f>IF(OR(OFFSET('Inwentaryzacja'!$A$6,116,0)="",OFFSET('Inwentaryzacja'!$B$6,116,0)=""),"",OFFSET('Inwentaryzacja'!$B$6,116,0))</f>
      </c>
      <c r="D133" s="7">
        <f>IF(OR(OFFSET('Inwentaryzacja'!$A$6,116,0)="",OFFSET('Inwentaryzacja'!$D$6,116,0)=""),"",OFFSET('Inwentaryzacja'!$D$6,116,0))</f>
      </c>
      <c r="F133" s="8">
        <f>IF(AND(ISNUMBER($D133),ISNUMBER($E133)),ROUND($D133*$E133,2),"")</f>
      </c>
    </row>
    <row r="134">
      <c r="A134" s="7">
        <f>IF(OR(OFFSET('Inwentaryzacja'!$A$6,117,0)&lt;&gt;"",LEN($D134)&gt;0,LEN($E134)&gt;0),COUNT($A$18:$A133)+1,"")</f>
      </c>
      <c r="B134" s="7">
        <f>IF(OFFSET('Inwentaryzacja'!$A$6,117,0)&lt;&gt;"",OFFSET('Inwentaryzacja'!$A$6,117,0),IF(AND(ISNUMBER($A133),COUNT($A134:$A$517)=0),"Spis zakończono na pozycji "&amp;$A133,""))</f>
      </c>
      <c r="C134" s="7">
        <f>IF(OR(OFFSET('Inwentaryzacja'!$A$6,117,0)="",OFFSET('Inwentaryzacja'!$B$6,117,0)=""),"",OFFSET('Inwentaryzacja'!$B$6,117,0))</f>
      </c>
      <c r="D134" s="7">
        <f>IF(OR(OFFSET('Inwentaryzacja'!$A$6,117,0)="",OFFSET('Inwentaryzacja'!$D$6,117,0)=""),"",OFFSET('Inwentaryzacja'!$D$6,117,0))</f>
      </c>
      <c r="F134" s="8">
        <f>IF(AND(ISNUMBER($D134),ISNUMBER($E134)),ROUND($D134*$E134,2),"")</f>
      </c>
    </row>
    <row r="135">
      <c r="A135" s="7">
        <f>IF(OR(OFFSET('Inwentaryzacja'!$A$6,118,0)&lt;&gt;"",LEN($D135)&gt;0,LEN($E135)&gt;0),COUNT($A$18:$A134)+1,"")</f>
      </c>
      <c r="B135" s="7">
        <f>IF(OFFSET('Inwentaryzacja'!$A$6,118,0)&lt;&gt;"",OFFSET('Inwentaryzacja'!$A$6,118,0),IF(AND(ISNUMBER($A134),COUNT($A135:$A$517)=0),"Spis zakończono na pozycji "&amp;$A134,""))</f>
      </c>
      <c r="C135" s="7">
        <f>IF(OR(OFFSET('Inwentaryzacja'!$A$6,118,0)="",OFFSET('Inwentaryzacja'!$B$6,118,0)=""),"",OFFSET('Inwentaryzacja'!$B$6,118,0))</f>
      </c>
      <c r="D135" s="7">
        <f>IF(OR(OFFSET('Inwentaryzacja'!$A$6,118,0)="",OFFSET('Inwentaryzacja'!$D$6,118,0)=""),"",OFFSET('Inwentaryzacja'!$D$6,118,0))</f>
      </c>
      <c r="F135" s="8">
        <f>IF(AND(ISNUMBER($D135),ISNUMBER($E135)),ROUND($D135*$E135,2),"")</f>
      </c>
    </row>
    <row r="136">
      <c r="A136" s="7">
        <f>IF(OR(OFFSET('Inwentaryzacja'!$A$6,119,0)&lt;&gt;"",LEN($D136)&gt;0,LEN($E136)&gt;0),COUNT($A$18:$A135)+1,"")</f>
      </c>
      <c r="B136" s="7">
        <f>IF(OFFSET('Inwentaryzacja'!$A$6,119,0)&lt;&gt;"",OFFSET('Inwentaryzacja'!$A$6,119,0),IF(AND(ISNUMBER($A135),COUNT($A136:$A$517)=0),"Spis zakończono na pozycji "&amp;$A135,""))</f>
      </c>
      <c r="C136" s="7">
        <f>IF(OR(OFFSET('Inwentaryzacja'!$A$6,119,0)="",OFFSET('Inwentaryzacja'!$B$6,119,0)=""),"",OFFSET('Inwentaryzacja'!$B$6,119,0))</f>
      </c>
      <c r="D136" s="7">
        <f>IF(OR(OFFSET('Inwentaryzacja'!$A$6,119,0)="",OFFSET('Inwentaryzacja'!$D$6,119,0)=""),"",OFFSET('Inwentaryzacja'!$D$6,119,0))</f>
      </c>
      <c r="F136" s="8">
        <f>IF(AND(ISNUMBER($D136),ISNUMBER($E136)),ROUND($D136*$E136,2),"")</f>
      </c>
    </row>
    <row r="137">
      <c r="A137" s="7">
        <f>IF(OR(OFFSET('Inwentaryzacja'!$A$6,120,0)&lt;&gt;"",LEN($D137)&gt;0,LEN($E137)&gt;0),COUNT($A$18:$A136)+1,"")</f>
      </c>
      <c r="B137" s="7">
        <f>IF(OFFSET('Inwentaryzacja'!$A$6,120,0)&lt;&gt;"",OFFSET('Inwentaryzacja'!$A$6,120,0),IF(AND(ISNUMBER($A136),COUNT($A137:$A$517)=0),"Spis zakończono na pozycji "&amp;$A136,""))</f>
      </c>
      <c r="C137" s="7">
        <f>IF(OR(OFFSET('Inwentaryzacja'!$A$6,120,0)="",OFFSET('Inwentaryzacja'!$B$6,120,0)=""),"",OFFSET('Inwentaryzacja'!$B$6,120,0))</f>
      </c>
      <c r="D137" s="7">
        <f>IF(OR(OFFSET('Inwentaryzacja'!$A$6,120,0)="",OFFSET('Inwentaryzacja'!$D$6,120,0)=""),"",OFFSET('Inwentaryzacja'!$D$6,120,0))</f>
      </c>
      <c r="F137" s="8">
        <f>IF(AND(ISNUMBER($D137),ISNUMBER($E137)),ROUND($D137*$E137,2),"")</f>
      </c>
    </row>
    <row r="138">
      <c r="A138" s="7">
        <f>IF(OR(OFFSET('Inwentaryzacja'!$A$6,121,0)&lt;&gt;"",LEN($D138)&gt;0,LEN($E138)&gt;0),COUNT($A$18:$A137)+1,"")</f>
      </c>
      <c r="B138" s="7">
        <f>IF(OFFSET('Inwentaryzacja'!$A$6,121,0)&lt;&gt;"",OFFSET('Inwentaryzacja'!$A$6,121,0),IF(AND(ISNUMBER($A137),COUNT($A138:$A$517)=0),"Spis zakończono na pozycji "&amp;$A137,""))</f>
      </c>
      <c r="C138" s="7">
        <f>IF(OR(OFFSET('Inwentaryzacja'!$A$6,121,0)="",OFFSET('Inwentaryzacja'!$B$6,121,0)=""),"",OFFSET('Inwentaryzacja'!$B$6,121,0))</f>
      </c>
      <c r="D138" s="7">
        <f>IF(OR(OFFSET('Inwentaryzacja'!$A$6,121,0)="",OFFSET('Inwentaryzacja'!$D$6,121,0)=""),"",OFFSET('Inwentaryzacja'!$D$6,121,0))</f>
      </c>
      <c r="F138" s="8">
        <f>IF(AND(ISNUMBER($D138),ISNUMBER($E138)),ROUND($D138*$E138,2),"")</f>
      </c>
    </row>
    <row r="139">
      <c r="A139" s="7">
        <f>IF(OR(OFFSET('Inwentaryzacja'!$A$6,122,0)&lt;&gt;"",LEN($D139)&gt;0,LEN($E139)&gt;0),COUNT($A$18:$A138)+1,"")</f>
      </c>
      <c r="B139" s="7">
        <f>IF(OFFSET('Inwentaryzacja'!$A$6,122,0)&lt;&gt;"",OFFSET('Inwentaryzacja'!$A$6,122,0),IF(AND(ISNUMBER($A138),COUNT($A139:$A$517)=0),"Spis zakończono na pozycji "&amp;$A138,""))</f>
      </c>
      <c r="C139" s="7">
        <f>IF(OR(OFFSET('Inwentaryzacja'!$A$6,122,0)="",OFFSET('Inwentaryzacja'!$B$6,122,0)=""),"",OFFSET('Inwentaryzacja'!$B$6,122,0))</f>
      </c>
      <c r="D139" s="7">
        <f>IF(OR(OFFSET('Inwentaryzacja'!$A$6,122,0)="",OFFSET('Inwentaryzacja'!$D$6,122,0)=""),"",OFFSET('Inwentaryzacja'!$D$6,122,0))</f>
      </c>
      <c r="F139" s="8">
        <f>IF(AND(ISNUMBER($D139),ISNUMBER($E139)),ROUND($D139*$E139,2),"")</f>
      </c>
    </row>
    <row r="140">
      <c r="A140" s="7">
        <f>IF(OR(OFFSET('Inwentaryzacja'!$A$6,123,0)&lt;&gt;"",LEN($D140)&gt;0,LEN($E140)&gt;0),COUNT($A$18:$A139)+1,"")</f>
      </c>
      <c r="B140" s="7">
        <f>IF(OFFSET('Inwentaryzacja'!$A$6,123,0)&lt;&gt;"",OFFSET('Inwentaryzacja'!$A$6,123,0),IF(AND(ISNUMBER($A139),COUNT($A140:$A$517)=0),"Spis zakończono na pozycji "&amp;$A139,""))</f>
      </c>
      <c r="C140" s="7">
        <f>IF(OR(OFFSET('Inwentaryzacja'!$A$6,123,0)="",OFFSET('Inwentaryzacja'!$B$6,123,0)=""),"",OFFSET('Inwentaryzacja'!$B$6,123,0))</f>
      </c>
      <c r="D140" s="7">
        <f>IF(OR(OFFSET('Inwentaryzacja'!$A$6,123,0)="",OFFSET('Inwentaryzacja'!$D$6,123,0)=""),"",OFFSET('Inwentaryzacja'!$D$6,123,0))</f>
      </c>
      <c r="F140" s="8">
        <f>IF(AND(ISNUMBER($D140),ISNUMBER($E140)),ROUND($D140*$E140,2),"")</f>
      </c>
    </row>
    <row r="141">
      <c r="A141" s="7">
        <f>IF(OR(OFFSET('Inwentaryzacja'!$A$6,124,0)&lt;&gt;"",LEN($D141)&gt;0,LEN($E141)&gt;0),COUNT($A$18:$A140)+1,"")</f>
      </c>
      <c r="B141" s="7">
        <f>IF(OFFSET('Inwentaryzacja'!$A$6,124,0)&lt;&gt;"",OFFSET('Inwentaryzacja'!$A$6,124,0),IF(AND(ISNUMBER($A140),COUNT($A141:$A$517)=0),"Spis zakończono na pozycji "&amp;$A140,""))</f>
      </c>
      <c r="C141" s="7">
        <f>IF(OR(OFFSET('Inwentaryzacja'!$A$6,124,0)="",OFFSET('Inwentaryzacja'!$B$6,124,0)=""),"",OFFSET('Inwentaryzacja'!$B$6,124,0))</f>
      </c>
      <c r="D141" s="7">
        <f>IF(OR(OFFSET('Inwentaryzacja'!$A$6,124,0)="",OFFSET('Inwentaryzacja'!$D$6,124,0)=""),"",OFFSET('Inwentaryzacja'!$D$6,124,0))</f>
      </c>
      <c r="F141" s="8">
        <f>IF(AND(ISNUMBER($D141),ISNUMBER($E141)),ROUND($D141*$E141,2),"")</f>
      </c>
    </row>
    <row r="142">
      <c r="A142" s="7">
        <f>IF(OR(OFFSET('Inwentaryzacja'!$A$6,125,0)&lt;&gt;"",LEN($D142)&gt;0,LEN($E142)&gt;0),COUNT($A$18:$A141)+1,"")</f>
      </c>
      <c r="B142" s="7">
        <f>IF(OFFSET('Inwentaryzacja'!$A$6,125,0)&lt;&gt;"",OFFSET('Inwentaryzacja'!$A$6,125,0),IF(AND(ISNUMBER($A141),COUNT($A142:$A$517)=0),"Spis zakończono na pozycji "&amp;$A141,""))</f>
      </c>
      <c r="C142" s="7">
        <f>IF(OR(OFFSET('Inwentaryzacja'!$A$6,125,0)="",OFFSET('Inwentaryzacja'!$B$6,125,0)=""),"",OFFSET('Inwentaryzacja'!$B$6,125,0))</f>
      </c>
      <c r="D142" s="7">
        <f>IF(OR(OFFSET('Inwentaryzacja'!$A$6,125,0)="",OFFSET('Inwentaryzacja'!$D$6,125,0)=""),"",OFFSET('Inwentaryzacja'!$D$6,125,0))</f>
      </c>
      <c r="F142" s="8">
        <f>IF(AND(ISNUMBER($D142),ISNUMBER($E142)),ROUND($D142*$E142,2),"")</f>
      </c>
    </row>
    <row r="143">
      <c r="A143" s="7">
        <f>IF(OR(OFFSET('Inwentaryzacja'!$A$6,126,0)&lt;&gt;"",LEN($D143)&gt;0,LEN($E143)&gt;0),COUNT($A$18:$A142)+1,"")</f>
      </c>
      <c r="B143" s="7">
        <f>IF(OFFSET('Inwentaryzacja'!$A$6,126,0)&lt;&gt;"",OFFSET('Inwentaryzacja'!$A$6,126,0),IF(AND(ISNUMBER($A142),COUNT($A143:$A$517)=0),"Spis zakończono na pozycji "&amp;$A142,""))</f>
      </c>
      <c r="C143" s="7">
        <f>IF(OR(OFFSET('Inwentaryzacja'!$A$6,126,0)="",OFFSET('Inwentaryzacja'!$B$6,126,0)=""),"",OFFSET('Inwentaryzacja'!$B$6,126,0))</f>
      </c>
      <c r="D143" s="7">
        <f>IF(OR(OFFSET('Inwentaryzacja'!$A$6,126,0)="",OFFSET('Inwentaryzacja'!$D$6,126,0)=""),"",OFFSET('Inwentaryzacja'!$D$6,126,0))</f>
      </c>
      <c r="F143" s="8">
        <f>IF(AND(ISNUMBER($D143),ISNUMBER($E143)),ROUND($D143*$E143,2),"")</f>
      </c>
    </row>
    <row r="144">
      <c r="A144" s="7">
        <f>IF(OR(OFFSET('Inwentaryzacja'!$A$6,127,0)&lt;&gt;"",LEN($D144)&gt;0,LEN($E144)&gt;0),COUNT($A$18:$A143)+1,"")</f>
      </c>
      <c r="B144" s="7">
        <f>IF(OFFSET('Inwentaryzacja'!$A$6,127,0)&lt;&gt;"",OFFSET('Inwentaryzacja'!$A$6,127,0),IF(AND(ISNUMBER($A143),COUNT($A144:$A$517)=0),"Spis zakończono na pozycji "&amp;$A143,""))</f>
      </c>
      <c r="C144" s="7">
        <f>IF(OR(OFFSET('Inwentaryzacja'!$A$6,127,0)="",OFFSET('Inwentaryzacja'!$B$6,127,0)=""),"",OFFSET('Inwentaryzacja'!$B$6,127,0))</f>
      </c>
      <c r="D144" s="7">
        <f>IF(OR(OFFSET('Inwentaryzacja'!$A$6,127,0)="",OFFSET('Inwentaryzacja'!$D$6,127,0)=""),"",OFFSET('Inwentaryzacja'!$D$6,127,0))</f>
      </c>
      <c r="F144" s="8">
        <f>IF(AND(ISNUMBER($D144),ISNUMBER($E144)),ROUND($D144*$E144,2),"")</f>
      </c>
    </row>
    <row r="145">
      <c r="A145" s="7">
        <f>IF(OR(OFFSET('Inwentaryzacja'!$A$6,128,0)&lt;&gt;"",LEN($D145)&gt;0,LEN($E145)&gt;0),COUNT($A$18:$A144)+1,"")</f>
      </c>
      <c r="B145" s="7">
        <f>IF(OFFSET('Inwentaryzacja'!$A$6,128,0)&lt;&gt;"",OFFSET('Inwentaryzacja'!$A$6,128,0),IF(AND(ISNUMBER($A144),COUNT($A145:$A$517)=0),"Spis zakończono na pozycji "&amp;$A144,""))</f>
      </c>
      <c r="C145" s="7">
        <f>IF(OR(OFFSET('Inwentaryzacja'!$A$6,128,0)="",OFFSET('Inwentaryzacja'!$B$6,128,0)=""),"",OFFSET('Inwentaryzacja'!$B$6,128,0))</f>
      </c>
      <c r="D145" s="7">
        <f>IF(OR(OFFSET('Inwentaryzacja'!$A$6,128,0)="",OFFSET('Inwentaryzacja'!$D$6,128,0)=""),"",OFFSET('Inwentaryzacja'!$D$6,128,0))</f>
      </c>
      <c r="F145" s="8">
        <f>IF(AND(ISNUMBER($D145),ISNUMBER($E145)),ROUND($D145*$E145,2),"")</f>
      </c>
    </row>
    <row r="146">
      <c r="A146" s="7">
        <f>IF(OR(OFFSET('Inwentaryzacja'!$A$6,129,0)&lt;&gt;"",LEN($D146)&gt;0,LEN($E146)&gt;0),COUNT($A$18:$A145)+1,"")</f>
      </c>
      <c r="B146" s="7">
        <f>IF(OFFSET('Inwentaryzacja'!$A$6,129,0)&lt;&gt;"",OFFSET('Inwentaryzacja'!$A$6,129,0),IF(AND(ISNUMBER($A145),COUNT($A146:$A$517)=0),"Spis zakończono na pozycji "&amp;$A145,""))</f>
      </c>
      <c r="C146" s="7">
        <f>IF(OR(OFFSET('Inwentaryzacja'!$A$6,129,0)="",OFFSET('Inwentaryzacja'!$B$6,129,0)=""),"",OFFSET('Inwentaryzacja'!$B$6,129,0))</f>
      </c>
      <c r="D146" s="7">
        <f>IF(OR(OFFSET('Inwentaryzacja'!$A$6,129,0)="",OFFSET('Inwentaryzacja'!$D$6,129,0)=""),"",OFFSET('Inwentaryzacja'!$D$6,129,0))</f>
      </c>
      <c r="F146" s="8">
        <f>IF(AND(ISNUMBER($D146),ISNUMBER($E146)),ROUND($D146*$E146,2),"")</f>
      </c>
    </row>
    <row r="147">
      <c r="A147" s="7">
        <f>IF(OR(OFFSET('Inwentaryzacja'!$A$6,130,0)&lt;&gt;"",LEN($D147)&gt;0,LEN($E147)&gt;0),COUNT($A$18:$A146)+1,"")</f>
      </c>
      <c r="B147" s="7">
        <f>IF(OFFSET('Inwentaryzacja'!$A$6,130,0)&lt;&gt;"",OFFSET('Inwentaryzacja'!$A$6,130,0),IF(AND(ISNUMBER($A146),COUNT($A147:$A$517)=0),"Spis zakończono na pozycji "&amp;$A146,""))</f>
      </c>
      <c r="C147" s="7">
        <f>IF(OR(OFFSET('Inwentaryzacja'!$A$6,130,0)="",OFFSET('Inwentaryzacja'!$B$6,130,0)=""),"",OFFSET('Inwentaryzacja'!$B$6,130,0))</f>
      </c>
      <c r="D147" s="7">
        <f>IF(OR(OFFSET('Inwentaryzacja'!$A$6,130,0)="",OFFSET('Inwentaryzacja'!$D$6,130,0)=""),"",OFFSET('Inwentaryzacja'!$D$6,130,0))</f>
      </c>
      <c r="F147" s="8">
        <f>IF(AND(ISNUMBER($D147),ISNUMBER($E147)),ROUND($D147*$E147,2),"")</f>
      </c>
    </row>
    <row r="148">
      <c r="A148" s="7">
        <f>IF(OR(OFFSET('Inwentaryzacja'!$A$6,131,0)&lt;&gt;"",LEN($D148)&gt;0,LEN($E148)&gt;0),COUNT($A$18:$A147)+1,"")</f>
      </c>
      <c r="B148" s="7">
        <f>IF(OFFSET('Inwentaryzacja'!$A$6,131,0)&lt;&gt;"",OFFSET('Inwentaryzacja'!$A$6,131,0),IF(AND(ISNUMBER($A147),COUNT($A148:$A$517)=0),"Spis zakończono na pozycji "&amp;$A147,""))</f>
      </c>
      <c r="C148" s="7">
        <f>IF(OR(OFFSET('Inwentaryzacja'!$A$6,131,0)="",OFFSET('Inwentaryzacja'!$B$6,131,0)=""),"",OFFSET('Inwentaryzacja'!$B$6,131,0))</f>
      </c>
      <c r="D148" s="7">
        <f>IF(OR(OFFSET('Inwentaryzacja'!$A$6,131,0)="",OFFSET('Inwentaryzacja'!$D$6,131,0)=""),"",OFFSET('Inwentaryzacja'!$D$6,131,0))</f>
      </c>
      <c r="F148" s="8">
        <f>IF(AND(ISNUMBER($D148),ISNUMBER($E148)),ROUND($D148*$E148,2),"")</f>
      </c>
    </row>
    <row r="149">
      <c r="A149" s="7">
        <f>IF(OR(OFFSET('Inwentaryzacja'!$A$6,132,0)&lt;&gt;"",LEN($D149)&gt;0,LEN($E149)&gt;0),COUNT($A$18:$A148)+1,"")</f>
      </c>
      <c r="B149" s="7">
        <f>IF(OFFSET('Inwentaryzacja'!$A$6,132,0)&lt;&gt;"",OFFSET('Inwentaryzacja'!$A$6,132,0),IF(AND(ISNUMBER($A148),COUNT($A149:$A$517)=0),"Spis zakończono na pozycji "&amp;$A148,""))</f>
      </c>
      <c r="C149" s="7">
        <f>IF(OR(OFFSET('Inwentaryzacja'!$A$6,132,0)="",OFFSET('Inwentaryzacja'!$B$6,132,0)=""),"",OFFSET('Inwentaryzacja'!$B$6,132,0))</f>
      </c>
      <c r="D149" s="7">
        <f>IF(OR(OFFSET('Inwentaryzacja'!$A$6,132,0)="",OFFSET('Inwentaryzacja'!$D$6,132,0)=""),"",OFFSET('Inwentaryzacja'!$D$6,132,0))</f>
      </c>
      <c r="F149" s="8">
        <f>IF(AND(ISNUMBER($D149),ISNUMBER($E149)),ROUND($D149*$E149,2),"")</f>
      </c>
    </row>
    <row r="150">
      <c r="A150" s="7">
        <f>IF(OR(OFFSET('Inwentaryzacja'!$A$6,133,0)&lt;&gt;"",LEN($D150)&gt;0,LEN($E150)&gt;0),COUNT($A$18:$A149)+1,"")</f>
      </c>
      <c r="B150" s="7">
        <f>IF(OFFSET('Inwentaryzacja'!$A$6,133,0)&lt;&gt;"",OFFSET('Inwentaryzacja'!$A$6,133,0),IF(AND(ISNUMBER($A149),COUNT($A150:$A$517)=0),"Spis zakończono na pozycji "&amp;$A149,""))</f>
      </c>
      <c r="C150" s="7">
        <f>IF(OR(OFFSET('Inwentaryzacja'!$A$6,133,0)="",OFFSET('Inwentaryzacja'!$B$6,133,0)=""),"",OFFSET('Inwentaryzacja'!$B$6,133,0))</f>
      </c>
      <c r="D150" s="7">
        <f>IF(OR(OFFSET('Inwentaryzacja'!$A$6,133,0)="",OFFSET('Inwentaryzacja'!$D$6,133,0)=""),"",OFFSET('Inwentaryzacja'!$D$6,133,0))</f>
      </c>
      <c r="F150" s="8">
        <f>IF(AND(ISNUMBER($D150),ISNUMBER($E150)),ROUND($D150*$E150,2),"")</f>
      </c>
    </row>
    <row r="151">
      <c r="A151" s="7">
        <f>IF(OR(OFFSET('Inwentaryzacja'!$A$6,134,0)&lt;&gt;"",LEN($D151)&gt;0,LEN($E151)&gt;0),COUNT($A$18:$A150)+1,"")</f>
      </c>
      <c r="B151" s="7">
        <f>IF(OFFSET('Inwentaryzacja'!$A$6,134,0)&lt;&gt;"",OFFSET('Inwentaryzacja'!$A$6,134,0),IF(AND(ISNUMBER($A150),COUNT($A151:$A$517)=0),"Spis zakończono na pozycji "&amp;$A150,""))</f>
      </c>
      <c r="C151" s="7">
        <f>IF(OR(OFFSET('Inwentaryzacja'!$A$6,134,0)="",OFFSET('Inwentaryzacja'!$B$6,134,0)=""),"",OFFSET('Inwentaryzacja'!$B$6,134,0))</f>
      </c>
      <c r="D151" s="7">
        <f>IF(OR(OFFSET('Inwentaryzacja'!$A$6,134,0)="",OFFSET('Inwentaryzacja'!$D$6,134,0)=""),"",OFFSET('Inwentaryzacja'!$D$6,134,0))</f>
      </c>
      <c r="F151" s="8">
        <f>IF(AND(ISNUMBER($D151),ISNUMBER($E151)),ROUND($D151*$E151,2),"")</f>
      </c>
    </row>
    <row r="152">
      <c r="A152" s="7">
        <f>IF(OR(OFFSET('Inwentaryzacja'!$A$6,135,0)&lt;&gt;"",LEN($D152)&gt;0,LEN($E152)&gt;0),COUNT($A$18:$A151)+1,"")</f>
      </c>
      <c r="B152" s="7">
        <f>IF(OFFSET('Inwentaryzacja'!$A$6,135,0)&lt;&gt;"",OFFSET('Inwentaryzacja'!$A$6,135,0),IF(AND(ISNUMBER($A151),COUNT($A152:$A$517)=0),"Spis zakończono na pozycji "&amp;$A151,""))</f>
      </c>
      <c r="C152" s="7">
        <f>IF(OR(OFFSET('Inwentaryzacja'!$A$6,135,0)="",OFFSET('Inwentaryzacja'!$B$6,135,0)=""),"",OFFSET('Inwentaryzacja'!$B$6,135,0))</f>
      </c>
      <c r="D152" s="7">
        <f>IF(OR(OFFSET('Inwentaryzacja'!$A$6,135,0)="",OFFSET('Inwentaryzacja'!$D$6,135,0)=""),"",OFFSET('Inwentaryzacja'!$D$6,135,0))</f>
      </c>
      <c r="F152" s="8">
        <f>IF(AND(ISNUMBER($D152),ISNUMBER($E152)),ROUND($D152*$E152,2),"")</f>
      </c>
    </row>
    <row r="153">
      <c r="A153" s="7">
        <f>IF(OR(OFFSET('Inwentaryzacja'!$A$6,136,0)&lt;&gt;"",LEN($D153)&gt;0,LEN($E153)&gt;0),COUNT($A$18:$A152)+1,"")</f>
      </c>
      <c r="B153" s="7">
        <f>IF(OFFSET('Inwentaryzacja'!$A$6,136,0)&lt;&gt;"",OFFSET('Inwentaryzacja'!$A$6,136,0),IF(AND(ISNUMBER($A152),COUNT($A153:$A$517)=0),"Spis zakończono na pozycji "&amp;$A152,""))</f>
      </c>
      <c r="C153" s="7">
        <f>IF(OR(OFFSET('Inwentaryzacja'!$A$6,136,0)="",OFFSET('Inwentaryzacja'!$B$6,136,0)=""),"",OFFSET('Inwentaryzacja'!$B$6,136,0))</f>
      </c>
      <c r="D153" s="7">
        <f>IF(OR(OFFSET('Inwentaryzacja'!$A$6,136,0)="",OFFSET('Inwentaryzacja'!$D$6,136,0)=""),"",OFFSET('Inwentaryzacja'!$D$6,136,0))</f>
      </c>
      <c r="F153" s="8">
        <f>IF(AND(ISNUMBER($D153),ISNUMBER($E153)),ROUND($D153*$E153,2),"")</f>
      </c>
    </row>
    <row r="154">
      <c r="A154" s="7">
        <f>IF(OR(OFFSET('Inwentaryzacja'!$A$6,137,0)&lt;&gt;"",LEN($D154)&gt;0,LEN($E154)&gt;0),COUNT($A$18:$A153)+1,"")</f>
      </c>
      <c r="B154" s="7">
        <f>IF(OFFSET('Inwentaryzacja'!$A$6,137,0)&lt;&gt;"",OFFSET('Inwentaryzacja'!$A$6,137,0),IF(AND(ISNUMBER($A153),COUNT($A154:$A$517)=0),"Spis zakończono na pozycji "&amp;$A153,""))</f>
      </c>
      <c r="C154" s="7">
        <f>IF(OR(OFFSET('Inwentaryzacja'!$A$6,137,0)="",OFFSET('Inwentaryzacja'!$B$6,137,0)=""),"",OFFSET('Inwentaryzacja'!$B$6,137,0))</f>
      </c>
      <c r="D154" s="7">
        <f>IF(OR(OFFSET('Inwentaryzacja'!$A$6,137,0)="",OFFSET('Inwentaryzacja'!$D$6,137,0)=""),"",OFFSET('Inwentaryzacja'!$D$6,137,0))</f>
      </c>
      <c r="F154" s="8">
        <f>IF(AND(ISNUMBER($D154),ISNUMBER($E154)),ROUND($D154*$E154,2),"")</f>
      </c>
    </row>
    <row r="155">
      <c r="A155" s="7">
        <f>IF(OR(OFFSET('Inwentaryzacja'!$A$6,138,0)&lt;&gt;"",LEN($D155)&gt;0,LEN($E155)&gt;0),COUNT($A$18:$A154)+1,"")</f>
      </c>
      <c r="B155" s="7">
        <f>IF(OFFSET('Inwentaryzacja'!$A$6,138,0)&lt;&gt;"",OFFSET('Inwentaryzacja'!$A$6,138,0),IF(AND(ISNUMBER($A154),COUNT($A155:$A$517)=0),"Spis zakończono na pozycji "&amp;$A154,""))</f>
      </c>
      <c r="C155" s="7">
        <f>IF(OR(OFFSET('Inwentaryzacja'!$A$6,138,0)="",OFFSET('Inwentaryzacja'!$B$6,138,0)=""),"",OFFSET('Inwentaryzacja'!$B$6,138,0))</f>
      </c>
      <c r="D155" s="7">
        <f>IF(OR(OFFSET('Inwentaryzacja'!$A$6,138,0)="",OFFSET('Inwentaryzacja'!$D$6,138,0)=""),"",OFFSET('Inwentaryzacja'!$D$6,138,0))</f>
      </c>
      <c r="F155" s="8">
        <f>IF(AND(ISNUMBER($D155),ISNUMBER($E155)),ROUND($D155*$E155,2),"")</f>
      </c>
    </row>
    <row r="156">
      <c r="A156" s="7">
        <f>IF(OR(OFFSET('Inwentaryzacja'!$A$6,139,0)&lt;&gt;"",LEN($D156)&gt;0,LEN($E156)&gt;0),COUNT($A$18:$A155)+1,"")</f>
      </c>
      <c r="B156" s="7">
        <f>IF(OFFSET('Inwentaryzacja'!$A$6,139,0)&lt;&gt;"",OFFSET('Inwentaryzacja'!$A$6,139,0),IF(AND(ISNUMBER($A155),COUNT($A156:$A$517)=0),"Spis zakończono na pozycji "&amp;$A155,""))</f>
      </c>
      <c r="C156" s="7">
        <f>IF(OR(OFFSET('Inwentaryzacja'!$A$6,139,0)="",OFFSET('Inwentaryzacja'!$B$6,139,0)=""),"",OFFSET('Inwentaryzacja'!$B$6,139,0))</f>
      </c>
      <c r="D156" s="7">
        <f>IF(OR(OFFSET('Inwentaryzacja'!$A$6,139,0)="",OFFSET('Inwentaryzacja'!$D$6,139,0)=""),"",OFFSET('Inwentaryzacja'!$D$6,139,0))</f>
      </c>
      <c r="F156" s="8">
        <f>IF(AND(ISNUMBER($D156),ISNUMBER($E156)),ROUND($D156*$E156,2),"")</f>
      </c>
    </row>
    <row r="157">
      <c r="A157" s="7">
        <f>IF(OR(OFFSET('Inwentaryzacja'!$A$6,140,0)&lt;&gt;"",LEN($D157)&gt;0,LEN($E157)&gt;0),COUNT($A$18:$A156)+1,"")</f>
      </c>
      <c r="B157" s="7">
        <f>IF(OFFSET('Inwentaryzacja'!$A$6,140,0)&lt;&gt;"",OFFSET('Inwentaryzacja'!$A$6,140,0),IF(AND(ISNUMBER($A156),COUNT($A157:$A$517)=0),"Spis zakończono na pozycji "&amp;$A156,""))</f>
      </c>
      <c r="C157" s="7">
        <f>IF(OR(OFFSET('Inwentaryzacja'!$A$6,140,0)="",OFFSET('Inwentaryzacja'!$B$6,140,0)=""),"",OFFSET('Inwentaryzacja'!$B$6,140,0))</f>
      </c>
      <c r="D157" s="7">
        <f>IF(OR(OFFSET('Inwentaryzacja'!$A$6,140,0)="",OFFSET('Inwentaryzacja'!$D$6,140,0)=""),"",OFFSET('Inwentaryzacja'!$D$6,140,0))</f>
      </c>
      <c r="F157" s="8">
        <f>IF(AND(ISNUMBER($D157),ISNUMBER($E157)),ROUND($D157*$E157,2),"")</f>
      </c>
    </row>
    <row r="158">
      <c r="A158" s="7">
        <f>IF(OR(OFFSET('Inwentaryzacja'!$A$6,141,0)&lt;&gt;"",LEN($D158)&gt;0,LEN($E158)&gt;0),COUNT($A$18:$A157)+1,"")</f>
      </c>
      <c r="B158" s="7">
        <f>IF(OFFSET('Inwentaryzacja'!$A$6,141,0)&lt;&gt;"",OFFSET('Inwentaryzacja'!$A$6,141,0),IF(AND(ISNUMBER($A157),COUNT($A158:$A$517)=0),"Spis zakończono na pozycji "&amp;$A157,""))</f>
      </c>
      <c r="C158" s="7">
        <f>IF(OR(OFFSET('Inwentaryzacja'!$A$6,141,0)="",OFFSET('Inwentaryzacja'!$B$6,141,0)=""),"",OFFSET('Inwentaryzacja'!$B$6,141,0))</f>
      </c>
      <c r="D158" s="7">
        <f>IF(OR(OFFSET('Inwentaryzacja'!$A$6,141,0)="",OFFSET('Inwentaryzacja'!$D$6,141,0)=""),"",OFFSET('Inwentaryzacja'!$D$6,141,0))</f>
      </c>
      <c r="F158" s="8">
        <f>IF(AND(ISNUMBER($D158),ISNUMBER($E158)),ROUND($D158*$E158,2),"")</f>
      </c>
    </row>
    <row r="159">
      <c r="A159" s="7">
        <f>IF(OR(OFFSET('Inwentaryzacja'!$A$6,142,0)&lt;&gt;"",LEN($D159)&gt;0,LEN($E159)&gt;0),COUNT($A$18:$A158)+1,"")</f>
      </c>
      <c r="B159" s="7">
        <f>IF(OFFSET('Inwentaryzacja'!$A$6,142,0)&lt;&gt;"",OFFSET('Inwentaryzacja'!$A$6,142,0),IF(AND(ISNUMBER($A158),COUNT($A159:$A$517)=0),"Spis zakończono na pozycji "&amp;$A158,""))</f>
      </c>
      <c r="C159" s="7">
        <f>IF(OR(OFFSET('Inwentaryzacja'!$A$6,142,0)="",OFFSET('Inwentaryzacja'!$B$6,142,0)=""),"",OFFSET('Inwentaryzacja'!$B$6,142,0))</f>
      </c>
      <c r="D159" s="7">
        <f>IF(OR(OFFSET('Inwentaryzacja'!$A$6,142,0)="",OFFSET('Inwentaryzacja'!$D$6,142,0)=""),"",OFFSET('Inwentaryzacja'!$D$6,142,0))</f>
      </c>
      <c r="F159" s="8">
        <f>IF(AND(ISNUMBER($D159),ISNUMBER($E159)),ROUND($D159*$E159,2),"")</f>
      </c>
    </row>
    <row r="160">
      <c r="A160" s="7">
        <f>IF(OR(OFFSET('Inwentaryzacja'!$A$6,143,0)&lt;&gt;"",LEN($D160)&gt;0,LEN($E160)&gt;0),COUNT($A$18:$A159)+1,"")</f>
      </c>
      <c r="B160" s="7">
        <f>IF(OFFSET('Inwentaryzacja'!$A$6,143,0)&lt;&gt;"",OFFSET('Inwentaryzacja'!$A$6,143,0),IF(AND(ISNUMBER($A159),COUNT($A160:$A$517)=0),"Spis zakończono na pozycji "&amp;$A159,""))</f>
      </c>
      <c r="C160" s="7">
        <f>IF(OR(OFFSET('Inwentaryzacja'!$A$6,143,0)="",OFFSET('Inwentaryzacja'!$B$6,143,0)=""),"",OFFSET('Inwentaryzacja'!$B$6,143,0))</f>
      </c>
      <c r="D160" s="7">
        <f>IF(OR(OFFSET('Inwentaryzacja'!$A$6,143,0)="",OFFSET('Inwentaryzacja'!$D$6,143,0)=""),"",OFFSET('Inwentaryzacja'!$D$6,143,0))</f>
      </c>
      <c r="F160" s="8">
        <f>IF(AND(ISNUMBER($D160),ISNUMBER($E160)),ROUND($D160*$E160,2),"")</f>
      </c>
    </row>
    <row r="161">
      <c r="A161" s="7">
        <f>IF(OR(OFFSET('Inwentaryzacja'!$A$6,144,0)&lt;&gt;"",LEN($D161)&gt;0,LEN($E161)&gt;0),COUNT($A$18:$A160)+1,"")</f>
      </c>
      <c r="B161" s="7">
        <f>IF(OFFSET('Inwentaryzacja'!$A$6,144,0)&lt;&gt;"",OFFSET('Inwentaryzacja'!$A$6,144,0),IF(AND(ISNUMBER($A160),COUNT($A161:$A$517)=0),"Spis zakończono na pozycji "&amp;$A160,""))</f>
      </c>
      <c r="C161" s="7">
        <f>IF(OR(OFFSET('Inwentaryzacja'!$A$6,144,0)="",OFFSET('Inwentaryzacja'!$B$6,144,0)=""),"",OFFSET('Inwentaryzacja'!$B$6,144,0))</f>
      </c>
      <c r="D161" s="7">
        <f>IF(OR(OFFSET('Inwentaryzacja'!$A$6,144,0)="",OFFSET('Inwentaryzacja'!$D$6,144,0)=""),"",OFFSET('Inwentaryzacja'!$D$6,144,0))</f>
      </c>
      <c r="F161" s="8">
        <f>IF(AND(ISNUMBER($D161),ISNUMBER($E161)),ROUND($D161*$E161,2),"")</f>
      </c>
    </row>
    <row r="162">
      <c r="A162" s="7">
        <f>IF(OR(OFFSET('Inwentaryzacja'!$A$6,145,0)&lt;&gt;"",LEN($D162)&gt;0,LEN($E162)&gt;0),COUNT($A$18:$A161)+1,"")</f>
      </c>
      <c r="B162" s="7">
        <f>IF(OFFSET('Inwentaryzacja'!$A$6,145,0)&lt;&gt;"",OFFSET('Inwentaryzacja'!$A$6,145,0),IF(AND(ISNUMBER($A161),COUNT($A162:$A$517)=0),"Spis zakończono na pozycji "&amp;$A161,""))</f>
      </c>
      <c r="C162" s="7">
        <f>IF(OR(OFFSET('Inwentaryzacja'!$A$6,145,0)="",OFFSET('Inwentaryzacja'!$B$6,145,0)=""),"",OFFSET('Inwentaryzacja'!$B$6,145,0))</f>
      </c>
      <c r="D162" s="7">
        <f>IF(OR(OFFSET('Inwentaryzacja'!$A$6,145,0)="",OFFSET('Inwentaryzacja'!$D$6,145,0)=""),"",OFFSET('Inwentaryzacja'!$D$6,145,0))</f>
      </c>
      <c r="F162" s="8">
        <f>IF(AND(ISNUMBER($D162),ISNUMBER($E162)),ROUND($D162*$E162,2),"")</f>
      </c>
    </row>
    <row r="163">
      <c r="A163" s="7">
        <f>IF(OR(OFFSET('Inwentaryzacja'!$A$6,146,0)&lt;&gt;"",LEN($D163)&gt;0,LEN($E163)&gt;0),COUNT($A$18:$A162)+1,"")</f>
      </c>
      <c r="B163" s="7">
        <f>IF(OFFSET('Inwentaryzacja'!$A$6,146,0)&lt;&gt;"",OFFSET('Inwentaryzacja'!$A$6,146,0),IF(AND(ISNUMBER($A162),COUNT($A163:$A$517)=0),"Spis zakończono na pozycji "&amp;$A162,""))</f>
      </c>
      <c r="C163" s="7">
        <f>IF(OR(OFFSET('Inwentaryzacja'!$A$6,146,0)="",OFFSET('Inwentaryzacja'!$B$6,146,0)=""),"",OFFSET('Inwentaryzacja'!$B$6,146,0))</f>
      </c>
      <c r="D163" s="7">
        <f>IF(OR(OFFSET('Inwentaryzacja'!$A$6,146,0)="",OFFSET('Inwentaryzacja'!$D$6,146,0)=""),"",OFFSET('Inwentaryzacja'!$D$6,146,0))</f>
      </c>
      <c r="F163" s="8">
        <f>IF(AND(ISNUMBER($D163),ISNUMBER($E163)),ROUND($D163*$E163,2),"")</f>
      </c>
    </row>
    <row r="164">
      <c r="A164" s="7">
        <f>IF(OR(OFFSET('Inwentaryzacja'!$A$6,147,0)&lt;&gt;"",LEN($D164)&gt;0,LEN($E164)&gt;0),COUNT($A$18:$A163)+1,"")</f>
      </c>
      <c r="B164" s="7">
        <f>IF(OFFSET('Inwentaryzacja'!$A$6,147,0)&lt;&gt;"",OFFSET('Inwentaryzacja'!$A$6,147,0),IF(AND(ISNUMBER($A163),COUNT($A164:$A$517)=0),"Spis zakończono na pozycji "&amp;$A163,""))</f>
      </c>
      <c r="C164" s="7">
        <f>IF(OR(OFFSET('Inwentaryzacja'!$A$6,147,0)="",OFFSET('Inwentaryzacja'!$B$6,147,0)=""),"",OFFSET('Inwentaryzacja'!$B$6,147,0))</f>
      </c>
      <c r="D164" s="7">
        <f>IF(OR(OFFSET('Inwentaryzacja'!$A$6,147,0)="",OFFSET('Inwentaryzacja'!$D$6,147,0)=""),"",OFFSET('Inwentaryzacja'!$D$6,147,0))</f>
      </c>
      <c r="F164" s="8">
        <f>IF(AND(ISNUMBER($D164),ISNUMBER($E164)),ROUND($D164*$E164,2),"")</f>
      </c>
    </row>
    <row r="165">
      <c r="A165" s="7">
        <f>IF(OR(OFFSET('Inwentaryzacja'!$A$6,148,0)&lt;&gt;"",LEN($D165)&gt;0,LEN($E165)&gt;0),COUNT($A$18:$A164)+1,"")</f>
      </c>
      <c r="B165" s="7">
        <f>IF(OFFSET('Inwentaryzacja'!$A$6,148,0)&lt;&gt;"",OFFSET('Inwentaryzacja'!$A$6,148,0),IF(AND(ISNUMBER($A164),COUNT($A165:$A$517)=0),"Spis zakończono na pozycji "&amp;$A164,""))</f>
      </c>
      <c r="C165" s="7">
        <f>IF(OR(OFFSET('Inwentaryzacja'!$A$6,148,0)="",OFFSET('Inwentaryzacja'!$B$6,148,0)=""),"",OFFSET('Inwentaryzacja'!$B$6,148,0))</f>
      </c>
      <c r="D165" s="7">
        <f>IF(OR(OFFSET('Inwentaryzacja'!$A$6,148,0)="",OFFSET('Inwentaryzacja'!$D$6,148,0)=""),"",OFFSET('Inwentaryzacja'!$D$6,148,0))</f>
      </c>
      <c r="F165" s="8">
        <f>IF(AND(ISNUMBER($D165),ISNUMBER($E165)),ROUND($D165*$E165,2),"")</f>
      </c>
    </row>
    <row r="166">
      <c r="A166" s="7">
        <f>IF(OR(OFFSET('Inwentaryzacja'!$A$6,149,0)&lt;&gt;"",LEN($D166)&gt;0,LEN($E166)&gt;0),COUNT($A$18:$A165)+1,"")</f>
      </c>
      <c r="B166" s="7">
        <f>IF(OFFSET('Inwentaryzacja'!$A$6,149,0)&lt;&gt;"",OFFSET('Inwentaryzacja'!$A$6,149,0),IF(AND(ISNUMBER($A165),COUNT($A166:$A$517)=0),"Spis zakończono na pozycji "&amp;$A165,""))</f>
      </c>
      <c r="C166" s="7">
        <f>IF(OR(OFFSET('Inwentaryzacja'!$A$6,149,0)="",OFFSET('Inwentaryzacja'!$B$6,149,0)=""),"",OFFSET('Inwentaryzacja'!$B$6,149,0))</f>
      </c>
      <c r="D166" s="7">
        <f>IF(OR(OFFSET('Inwentaryzacja'!$A$6,149,0)="",OFFSET('Inwentaryzacja'!$D$6,149,0)=""),"",OFFSET('Inwentaryzacja'!$D$6,149,0))</f>
      </c>
      <c r="F166" s="8">
        <f>IF(AND(ISNUMBER($D166),ISNUMBER($E166)),ROUND($D166*$E166,2),"")</f>
      </c>
    </row>
    <row r="167">
      <c r="A167" s="7">
        <f>IF(OR(OFFSET('Inwentaryzacja'!$A$6,150,0)&lt;&gt;"",LEN($D167)&gt;0,LEN($E167)&gt;0),COUNT($A$18:$A166)+1,"")</f>
      </c>
      <c r="B167" s="7">
        <f>IF(OFFSET('Inwentaryzacja'!$A$6,150,0)&lt;&gt;"",OFFSET('Inwentaryzacja'!$A$6,150,0),IF(AND(ISNUMBER($A166),COUNT($A167:$A$517)=0),"Spis zakończono na pozycji "&amp;$A166,""))</f>
      </c>
      <c r="C167" s="7">
        <f>IF(OR(OFFSET('Inwentaryzacja'!$A$6,150,0)="",OFFSET('Inwentaryzacja'!$B$6,150,0)=""),"",OFFSET('Inwentaryzacja'!$B$6,150,0))</f>
      </c>
      <c r="D167" s="7">
        <f>IF(OR(OFFSET('Inwentaryzacja'!$A$6,150,0)="",OFFSET('Inwentaryzacja'!$D$6,150,0)=""),"",OFFSET('Inwentaryzacja'!$D$6,150,0))</f>
      </c>
      <c r="F167" s="8">
        <f>IF(AND(ISNUMBER($D167),ISNUMBER($E167)),ROUND($D167*$E167,2),"")</f>
      </c>
    </row>
    <row r="168">
      <c r="A168" s="7">
        <f>IF(OR(OFFSET('Inwentaryzacja'!$A$6,151,0)&lt;&gt;"",LEN($D168)&gt;0,LEN($E168)&gt;0),COUNT($A$18:$A167)+1,"")</f>
      </c>
      <c r="B168" s="7">
        <f>IF(OFFSET('Inwentaryzacja'!$A$6,151,0)&lt;&gt;"",OFFSET('Inwentaryzacja'!$A$6,151,0),IF(AND(ISNUMBER($A167),COUNT($A168:$A$517)=0),"Spis zakończono na pozycji "&amp;$A167,""))</f>
      </c>
      <c r="C168" s="7">
        <f>IF(OR(OFFSET('Inwentaryzacja'!$A$6,151,0)="",OFFSET('Inwentaryzacja'!$B$6,151,0)=""),"",OFFSET('Inwentaryzacja'!$B$6,151,0))</f>
      </c>
      <c r="D168" s="7">
        <f>IF(OR(OFFSET('Inwentaryzacja'!$A$6,151,0)="",OFFSET('Inwentaryzacja'!$D$6,151,0)=""),"",OFFSET('Inwentaryzacja'!$D$6,151,0))</f>
      </c>
      <c r="F168" s="8">
        <f>IF(AND(ISNUMBER($D168),ISNUMBER($E168)),ROUND($D168*$E168,2),"")</f>
      </c>
    </row>
    <row r="169">
      <c r="A169" s="7">
        <f>IF(OR(OFFSET('Inwentaryzacja'!$A$6,152,0)&lt;&gt;"",LEN($D169)&gt;0,LEN($E169)&gt;0),COUNT($A$18:$A168)+1,"")</f>
      </c>
      <c r="B169" s="7">
        <f>IF(OFFSET('Inwentaryzacja'!$A$6,152,0)&lt;&gt;"",OFFSET('Inwentaryzacja'!$A$6,152,0),IF(AND(ISNUMBER($A168),COUNT($A169:$A$517)=0),"Spis zakończono na pozycji "&amp;$A168,""))</f>
      </c>
      <c r="C169" s="7">
        <f>IF(OR(OFFSET('Inwentaryzacja'!$A$6,152,0)="",OFFSET('Inwentaryzacja'!$B$6,152,0)=""),"",OFFSET('Inwentaryzacja'!$B$6,152,0))</f>
      </c>
      <c r="D169" s="7">
        <f>IF(OR(OFFSET('Inwentaryzacja'!$A$6,152,0)="",OFFSET('Inwentaryzacja'!$D$6,152,0)=""),"",OFFSET('Inwentaryzacja'!$D$6,152,0))</f>
      </c>
      <c r="F169" s="8">
        <f>IF(AND(ISNUMBER($D169),ISNUMBER($E169)),ROUND($D169*$E169,2),"")</f>
      </c>
    </row>
    <row r="170">
      <c r="A170" s="7">
        <f>IF(OR(OFFSET('Inwentaryzacja'!$A$6,153,0)&lt;&gt;"",LEN($D170)&gt;0,LEN($E170)&gt;0),COUNT($A$18:$A169)+1,"")</f>
      </c>
      <c r="B170" s="7">
        <f>IF(OFFSET('Inwentaryzacja'!$A$6,153,0)&lt;&gt;"",OFFSET('Inwentaryzacja'!$A$6,153,0),IF(AND(ISNUMBER($A169),COUNT($A170:$A$517)=0),"Spis zakończono na pozycji "&amp;$A169,""))</f>
      </c>
      <c r="C170" s="7">
        <f>IF(OR(OFFSET('Inwentaryzacja'!$A$6,153,0)="",OFFSET('Inwentaryzacja'!$B$6,153,0)=""),"",OFFSET('Inwentaryzacja'!$B$6,153,0))</f>
      </c>
      <c r="D170" s="7">
        <f>IF(OR(OFFSET('Inwentaryzacja'!$A$6,153,0)="",OFFSET('Inwentaryzacja'!$D$6,153,0)=""),"",OFFSET('Inwentaryzacja'!$D$6,153,0))</f>
      </c>
      <c r="F170" s="8">
        <f>IF(AND(ISNUMBER($D170),ISNUMBER($E170)),ROUND($D170*$E170,2),"")</f>
      </c>
    </row>
    <row r="171">
      <c r="A171" s="7">
        <f>IF(OR(OFFSET('Inwentaryzacja'!$A$6,154,0)&lt;&gt;"",LEN($D171)&gt;0,LEN($E171)&gt;0),COUNT($A$18:$A170)+1,"")</f>
      </c>
      <c r="B171" s="7">
        <f>IF(OFFSET('Inwentaryzacja'!$A$6,154,0)&lt;&gt;"",OFFSET('Inwentaryzacja'!$A$6,154,0),IF(AND(ISNUMBER($A170),COUNT($A171:$A$517)=0),"Spis zakończono na pozycji "&amp;$A170,""))</f>
      </c>
      <c r="C171" s="7">
        <f>IF(OR(OFFSET('Inwentaryzacja'!$A$6,154,0)="",OFFSET('Inwentaryzacja'!$B$6,154,0)=""),"",OFFSET('Inwentaryzacja'!$B$6,154,0))</f>
      </c>
      <c r="D171" s="7">
        <f>IF(OR(OFFSET('Inwentaryzacja'!$A$6,154,0)="",OFFSET('Inwentaryzacja'!$D$6,154,0)=""),"",OFFSET('Inwentaryzacja'!$D$6,154,0))</f>
      </c>
      <c r="F171" s="8">
        <f>IF(AND(ISNUMBER($D171),ISNUMBER($E171)),ROUND($D171*$E171,2),"")</f>
      </c>
    </row>
    <row r="172">
      <c r="A172" s="7">
        <f>IF(OR(OFFSET('Inwentaryzacja'!$A$6,155,0)&lt;&gt;"",LEN($D172)&gt;0,LEN($E172)&gt;0),COUNT($A$18:$A171)+1,"")</f>
      </c>
      <c r="B172" s="7">
        <f>IF(OFFSET('Inwentaryzacja'!$A$6,155,0)&lt;&gt;"",OFFSET('Inwentaryzacja'!$A$6,155,0),IF(AND(ISNUMBER($A171),COUNT($A172:$A$517)=0),"Spis zakończono na pozycji "&amp;$A171,""))</f>
      </c>
      <c r="C172" s="7">
        <f>IF(OR(OFFSET('Inwentaryzacja'!$A$6,155,0)="",OFFSET('Inwentaryzacja'!$B$6,155,0)=""),"",OFFSET('Inwentaryzacja'!$B$6,155,0))</f>
      </c>
      <c r="D172" s="7">
        <f>IF(OR(OFFSET('Inwentaryzacja'!$A$6,155,0)="",OFFSET('Inwentaryzacja'!$D$6,155,0)=""),"",OFFSET('Inwentaryzacja'!$D$6,155,0))</f>
      </c>
      <c r="F172" s="8">
        <f>IF(AND(ISNUMBER($D172),ISNUMBER($E172)),ROUND($D172*$E172,2),"")</f>
      </c>
    </row>
    <row r="173">
      <c r="A173" s="7">
        <f>IF(OR(OFFSET('Inwentaryzacja'!$A$6,156,0)&lt;&gt;"",LEN($D173)&gt;0,LEN($E173)&gt;0),COUNT($A$18:$A172)+1,"")</f>
      </c>
      <c r="B173" s="7">
        <f>IF(OFFSET('Inwentaryzacja'!$A$6,156,0)&lt;&gt;"",OFFSET('Inwentaryzacja'!$A$6,156,0),IF(AND(ISNUMBER($A172),COUNT($A173:$A$517)=0),"Spis zakończono na pozycji "&amp;$A172,""))</f>
      </c>
      <c r="C173" s="7">
        <f>IF(OR(OFFSET('Inwentaryzacja'!$A$6,156,0)="",OFFSET('Inwentaryzacja'!$B$6,156,0)=""),"",OFFSET('Inwentaryzacja'!$B$6,156,0))</f>
      </c>
      <c r="D173" s="7">
        <f>IF(OR(OFFSET('Inwentaryzacja'!$A$6,156,0)="",OFFSET('Inwentaryzacja'!$D$6,156,0)=""),"",OFFSET('Inwentaryzacja'!$D$6,156,0))</f>
      </c>
      <c r="F173" s="8">
        <f>IF(AND(ISNUMBER($D173),ISNUMBER($E173)),ROUND($D173*$E173,2),"")</f>
      </c>
    </row>
    <row r="174">
      <c r="A174" s="7">
        <f>IF(OR(OFFSET('Inwentaryzacja'!$A$6,157,0)&lt;&gt;"",LEN($D174)&gt;0,LEN($E174)&gt;0),COUNT($A$18:$A173)+1,"")</f>
      </c>
      <c r="B174" s="7">
        <f>IF(OFFSET('Inwentaryzacja'!$A$6,157,0)&lt;&gt;"",OFFSET('Inwentaryzacja'!$A$6,157,0),IF(AND(ISNUMBER($A173),COUNT($A174:$A$517)=0),"Spis zakończono na pozycji "&amp;$A173,""))</f>
      </c>
      <c r="C174" s="7">
        <f>IF(OR(OFFSET('Inwentaryzacja'!$A$6,157,0)="",OFFSET('Inwentaryzacja'!$B$6,157,0)=""),"",OFFSET('Inwentaryzacja'!$B$6,157,0))</f>
      </c>
      <c r="D174" s="7">
        <f>IF(OR(OFFSET('Inwentaryzacja'!$A$6,157,0)="",OFFSET('Inwentaryzacja'!$D$6,157,0)=""),"",OFFSET('Inwentaryzacja'!$D$6,157,0))</f>
      </c>
      <c r="F174" s="8">
        <f>IF(AND(ISNUMBER($D174),ISNUMBER($E174)),ROUND($D174*$E174,2),"")</f>
      </c>
    </row>
    <row r="175">
      <c r="A175" s="7">
        <f>IF(OR(OFFSET('Inwentaryzacja'!$A$6,158,0)&lt;&gt;"",LEN($D175)&gt;0,LEN($E175)&gt;0),COUNT($A$18:$A174)+1,"")</f>
      </c>
      <c r="B175" s="7">
        <f>IF(OFFSET('Inwentaryzacja'!$A$6,158,0)&lt;&gt;"",OFFSET('Inwentaryzacja'!$A$6,158,0),IF(AND(ISNUMBER($A174),COUNT($A175:$A$517)=0),"Spis zakończono na pozycji "&amp;$A174,""))</f>
      </c>
      <c r="C175" s="7">
        <f>IF(OR(OFFSET('Inwentaryzacja'!$A$6,158,0)="",OFFSET('Inwentaryzacja'!$B$6,158,0)=""),"",OFFSET('Inwentaryzacja'!$B$6,158,0))</f>
      </c>
      <c r="D175" s="7">
        <f>IF(OR(OFFSET('Inwentaryzacja'!$A$6,158,0)="",OFFSET('Inwentaryzacja'!$D$6,158,0)=""),"",OFFSET('Inwentaryzacja'!$D$6,158,0))</f>
      </c>
      <c r="F175" s="8">
        <f>IF(AND(ISNUMBER($D175),ISNUMBER($E175)),ROUND($D175*$E175,2),"")</f>
      </c>
    </row>
    <row r="176">
      <c r="A176" s="7">
        <f>IF(OR(OFFSET('Inwentaryzacja'!$A$6,159,0)&lt;&gt;"",LEN($D176)&gt;0,LEN($E176)&gt;0),COUNT($A$18:$A175)+1,"")</f>
      </c>
      <c r="B176" s="7">
        <f>IF(OFFSET('Inwentaryzacja'!$A$6,159,0)&lt;&gt;"",OFFSET('Inwentaryzacja'!$A$6,159,0),IF(AND(ISNUMBER($A175),COUNT($A176:$A$517)=0),"Spis zakończono na pozycji "&amp;$A175,""))</f>
      </c>
      <c r="C176" s="7">
        <f>IF(OR(OFFSET('Inwentaryzacja'!$A$6,159,0)="",OFFSET('Inwentaryzacja'!$B$6,159,0)=""),"",OFFSET('Inwentaryzacja'!$B$6,159,0))</f>
      </c>
      <c r="D176" s="7">
        <f>IF(OR(OFFSET('Inwentaryzacja'!$A$6,159,0)="",OFFSET('Inwentaryzacja'!$D$6,159,0)=""),"",OFFSET('Inwentaryzacja'!$D$6,159,0))</f>
      </c>
      <c r="F176" s="8">
        <f>IF(AND(ISNUMBER($D176),ISNUMBER($E176)),ROUND($D176*$E176,2),"")</f>
      </c>
    </row>
    <row r="177">
      <c r="A177" s="7">
        <f>IF(OR(OFFSET('Inwentaryzacja'!$A$6,160,0)&lt;&gt;"",LEN($D177)&gt;0,LEN($E177)&gt;0),COUNT($A$18:$A176)+1,"")</f>
      </c>
      <c r="B177" s="7">
        <f>IF(OFFSET('Inwentaryzacja'!$A$6,160,0)&lt;&gt;"",OFFSET('Inwentaryzacja'!$A$6,160,0),IF(AND(ISNUMBER($A176),COUNT($A177:$A$517)=0),"Spis zakończono na pozycji "&amp;$A176,""))</f>
      </c>
      <c r="C177" s="7">
        <f>IF(OR(OFFSET('Inwentaryzacja'!$A$6,160,0)="",OFFSET('Inwentaryzacja'!$B$6,160,0)=""),"",OFFSET('Inwentaryzacja'!$B$6,160,0))</f>
      </c>
      <c r="D177" s="7">
        <f>IF(OR(OFFSET('Inwentaryzacja'!$A$6,160,0)="",OFFSET('Inwentaryzacja'!$D$6,160,0)=""),"",OFFSET('Inwentaryzacja'!$D$6,160,0))</f>
      </c>
      <c r="F177" s="8">
        <f>IF(AND(ISNUMBER($D177),ISNUMBER($E177)),ROUND($D177*$E177,2),"")</f>
      </c>
    </row>
    <row r="178">
      <c r="A178" s="7">
        <f>IF(OR(OFFSET('Inwentaryzacja'!$A$6,161,0)&lt;&gt;"",LEN($D178)&gt;0,LEN($E178)&gt;0),COUNT($A$18:$A177)+1,"")</f>
      </c>
      <c r="B178" s="7">
        <f>IF(OFFSET('Inwentaryzacja'!$A$6,161,0)&lt;&gt;"",OFFSET('Inwentaryzacja'!$A$6,161,0),IF(AND(ISNUMBER($A177),COUNT($A178:$A$517)=0),"Spis zakończono na pozycji "&amp;$A177,""))</f>
      </c>
      <c r="C178" s="7">
        <f>IF(OR(OFFSET('Inwentaryzacja'!$A$6,161,0)="",OFFSET('Inwentaryzacja'!$B$6,161,0)=""),"",OFFSET('Inwentaryzacja'!$B$6,161,0))</f>
      </c>
      <c r="D178" s="7">
        <f>IF(OR(OFFSET('Inwentaryzacja'!$A$6,161,0)="",OFFSET('Inwentaryzacja'!$D$6,161,0)=""),"",OFFSET('Inwentaryzacja'!$D$6,161,0))</f>
      </c>
      <c r="F178" s="8">
        <f>IF(AND(ISNUMBER($D178),ISNUMBER($E178)),ROUND($D178*$E178,2),"")</f>
      </c>
    </row>
    <row r="179">
      <c r="A179" s="7">
        <f>IF(OR(OFFSET('Inwentaryzacja'!$A$6,162,0)&lt;&gt;"",LEN($D179)&gt;0,LEN($E179)&gt;0),COUNT($A$18:$A178)+1,"")</f>
      </c>
      <c r="B179" s="7">
        <f>IF(OFFSET('Inwentaryzacja'!$A$6,162,0)&lt;&gt;"",OFFSET('Inwentaryzacja'!$A$6,162,0),IF(AND(ISNUMBER($A178),COUNT($A179:$A$517)=0),"Spis zakończono na pozycji "&amp;$A178,""))</f>
      </c>
      <c r="C179" s="7">
        <f>IF(OR(OFFSET('Inwentaryzacja'!$A$6,162,0)="",OFFSET('Inwentaryzacja'!$B$6,162,0)=""),"",OFFSET('Inwentaryzacja'!$B$6,162,0))</f>
      </c>
      <c r="D179" s="7">
        <f>IF(OR(OFFSET('Inwentaryzacja'!$A$6,162,0)="",OFFSET('Inwentaryzacja'!$D$6,162,0)=""),"",OFFSET('Inwentaryzacja'!$D$6,162,0))</f>
      </c>
      <c r="F179" s="8">
        <f>IF(AND(ISNUMBER($D179),ISNUMBER($E179)),ROUND($D179*$E179,2),"")</f>
      </c>
    </row>
    <row r="180">
      <c r="A180" s="7">
        <f>IF(OR(OFFSET('Inwentaryzacja'!$A$6,163,0)&lt;&gt;"",LEN($D180)&gt;0,LEN($E180)&gt;0),COUNT($A$18:$A179)+1,"")</f>
      </c>
      <c r="B180" s="7">
        <f>IF(OFFSET('Inwentaryzacja'!$A$6,163,0)&lt;&gt;"",OFFSET('Inwentaryzacja'!$A$6,163,0),IF(AND(ISNUMBER($A179),COUNT($A180:$A$517)=0),"Spis zakończono na pozycji "&amp;$A179,""))</f>
      </c>
      <c r="C180" s="7">
        <f>IF(OR(OFFSET('Inwentaryzacja'!$A$6,163,0)="",OFFSET('Inwentaryzacja'!$B$6,163,0)=""),"",OFFSET('Inwentaryzacja'!$B$6,163,0))</f>
      </c>
      <c r="D180" s="7">
        <f>IF(OR(OFFSET('Inwentaryzacja'!$A$6,163,0)="",OFFSET('Inwentaryzacja'!$D$6,163,0)=""),"",OFFSET('Inwentaryzacja'!$D$6,163,0))</f>
      </c>
      <c r="F180" s="8">
        <f>IF(AND(ISNUMBER($D180),ISNUMBER($E180)),ROUND($D180*$E180,2),"")</f>
      </c>
    </row>
    <row r="181">
      <c r="A181" s="7">
        <f>IF(OR(OFFSET('Inwentaryzacja'!$A$6,164,0)&lt;&gt;"",LEN($D181)&gt;0,LEN($E181)&gt;0),COUNT($A$18:$A180)+1,"")</f>
      </c>
      <c r="B181" s="7">
        <f>IF(OFFSET('Inwentaryzacja'!$A$6,164,0)&lt;&gt;"",OFFSET('Inwentaryzacja'!$A$6,164,0),IF(AND(ISNUMBER($A180),COUNT($A181:$A$517)=0),"Spis zakończono na pozycji "&amp;$A180,""))</f>
      </c>
      <c r="C181" s="7">
        <f>IF(OR(OFFSET('Inwentaryzacja'!$A$6,164,0)="",OFFSET('Inwentaryzacja'!$B$6,164,0)=""),"",OFFSET('Inwentaryzacja'!$B$6,164,0))</f>
      </c>
      <c r="D181" s="7">
        <f>IF(OR(OFFSET('Inwentaryzacja'!$A$6,164,0)="",OFFSET('Inwentaryzacja'!$D$6,164,0)=""),"",OFFSET('Inwentaryzacja'!$D$6,164,0))</f>
      </c>
      <c r="F181" s="8">
        <f>IF(AND(ISNUMBER($D181),ISNUMBER($E181)),ROUND($D181*$E181,2),"")</f>
      </c>
    </row>
    <row r="182">
      <c r="A182" s="7">
        <f>IF(OR(OFFSET('Inwentaryzacja'!$A$6,165,0)&lt;&gt;"",LEN($D182)&gt;0,LEN($E182)&gt;0),COUNT($A$18:$A181)+1,"")</f>
      </c>
      <c r="B182" s="7">
        <f>IF(OFFSET('Inwentaryzacja'!$A$6,165,0)&lt;&gt;"",OFFSET('Inwentaryzacja'!$A$6,165,0),IF(AND(ISNUMBER($A181),COUNT($A182:$A$517)=0),"Spis zakończono na pozycji "&amp;$A181,""))</f>
      </c>
      <c r="C182" s="7">
        <f>IF(OR(OFFSET('Inwentaryzacja'!$A$6,165,0)="",OFFSET('Inwentaryzacja'!$B$6,165,0)=""),"",OFFSET('Inwentaryzacja'!$B$6,165,0))</f>
      </c>
      <c r="D182" s="7">
        <f>IF(OR(OFFSET('Inwentaryzacja'!$A$6,165,0)="",OFFSET('Inwentaryzacja'!$D$6,165,0)=""),"",OFFSET('Inwentaryzacja'!$D$6,165,0))</f>
      </c>
      <c r="F182" s="8">
        <f>IF(AND(ISNUMBER($D182),ISNUMBER($E182)),ROUND($D182*$E182,2),"")</f>
      </c>
    </row>
    <row r="183">
      <c r="A183" s="7">
        <f>IF(OR(OFFSET('Inwentaryzacja'!$A$6,166,0)&lt;&gt;"",LEN($D183)&gt;0,LEN($E183)&gt;0),COUNT($A$18:$A182)+1,"")</f>
      </c>
      <c r="B183" s="7">
        <f>IF(OFFSET('Inwentaryzacja'!$A$6,166,0)&lt;&gt;"",OFFSET('Inwentaryzacja'!$A$6,166,0),IF(AND(ISNUMBER($A182),COUNT($A183:$A$517)=0),"Spis zakończono na pozycji "&amp;$A182,""))</f>
      </c>
      <c r="C183" s="7">
        <f>IF(OR(OFFSET('Inwentaryzacja'!$A$6,166,0)="",OFFSET('Inwentaryzacja'!$B$6,166,0)=""),"",OFFSET('Inwentaryzacja'!$B$6,166,0))</f>
      </c>
      <c r="D183" s="7">
        <f>IF(OR(OFFSET('Inwentaryzacja'!$A$6,166,0)="",OFFSET('Inwentaryzacja'!$D$6,166,0)=""),"",OFFSET('Inwentaryzacja'!$D$6,166,0))</f>
      </c>
      <c r="F183" s="8">
        <f>IF(AND(ISNUMBER($D183),ISNUMBER($E183)),ROUND($D183*$E183,2),"")</f>
      </c>
    </row>
    <row r="184">
      <c r="A184" s="7">
        <f>IF(OR(OFFSET('Inwentaryzacja'!$A$6,167,0)&lt;&gt;"",LEN($D184)&gt;0,LEN($E184)&gt;0),COUNT($A$18:$A183)+1,"")</f>
      </c>
      <c r="B184" s="7">
        <f>IF(OFFSET('Inwentaryzacja'!$A$6,167,0)&lt;&gt;"",OFFSET('Inwentaryzacja'!$A$6,167,0),IF(AND(ISNUMBER($A183),COUNT($A184:$A$517)=0),"Spis zakończono na pozycji "&amp;$A183,""))</f>
      </c>
      <c r="C184" s="7">
        <f>IF(OR(OFFSET('Inwentaryzacja'!$A$6,167,0)="",OFFSET('Inwentaryzacja'!$B$6,167,0)=""),"",OFFSET('Inwentaryzacja'!$B$6,167,0))</f>
      </c>
      <c r="D184" s="7">
        <f>IF(OR(OFFSET('Inwentaryzacja'!$A$6,167,0)="",OFFSET('Inwentaryzacja'!$D$6,167,0)=""),"",OFFSET('Inwentaryzacja'!$D$6,167,0))</f>
      </c>
      <c r="F184" s="8">
        <f>IF(AND(ISNUMBER($D184),ISNUMBER($E184)),ROUND($D184*$E184,2),"")</f>
      </c>
    </row>
    <row r="185">
      <c r="A185" s="7">
        <f>IF(OR(OFFSET('Inwentaryzacja'!$A$6,168,0)&lt;&gt;"",LEN($D185)&gt;0,LEN($E185)&gt;0),COUNT($A$18:$A184)+1,"")</f>
      </c>
      <c r="B185" s="7">
        <f>IF(OFFSET('Inwentaryzacja'!$A$6,168,0)&lt;&gt;"",OFFSET('Inwentaryzacja'!$A$6,168,0),IF(AND(ISNUMBER($A184),COUNT($A185:$A$517)=0),"Spis zakończono na pozycji "&amp;$A184,""))</f>
      </c>
      <c r="C185" s="7">
        <f>IF(OR(OFFSET('Inwentaryzacja'!$A$6,168,0)="",OFFSET('Inwentaryzacja'!$B$6,168,0)=""),"",OFFSET('Inwentaryzacja'!$B$6,168,0))</f>
      </c>
      <c r="D185" s="7">
        <f>IF(OR(OFFSET('Inwentaryzacja'!$A$6,168,0)="",OFFSET('Inwentaryzacja'!$D$6,168,0)=""),"",OFFSET('Inwentaryzacja'!$D$6,168,0))</f>
      </c>
      <c r="F185" s="8">
        <f>IF(AND(ISNUMBER($D185),ISNUMBER($E185)),ROUND($D185*$E185,2),"")</f>
      </c>
    </row>
    <row r="186">
      <c r="A186" s="7">
        <f>IF(OR(OFFSET('Inwentaryzacja'!$A$6,169,0)&lt;&gt;"",LEN($D186)&gt;0,LEN($E186)&gt;0),COUNT($A$18:$A185)+1,"")</f>
      </c>
      <c r="B186" s="7">
        <f>IF(OFFSET('Inwentaryzacja'!$A$6,169,0)&lt;&gt;"",OFFSET('Inwentaryzacja'!$A$6,169,0),IF(AND(ISNUMBER($A185),COUNT($A186:$A$517)=0),"Spis zakończono na pozycji "&amp;$A185,""))</f>
      </c>
      <c r="C186" s="7">
        <f>IF(OR(OFFSET('Inwentaryzacja'!$A$6,169,0)="",OFFSET('Inwentaryzacja'!$B$6,169,0)=""),"",OFFSET('Inwentaryzacja'!$B$6,169,0))</f>
      </c>
      <c r="D186" s="7">
        <f>IF(OR(OFFSET('Inwentaryzacja'!$A$6,169,0)="",OFFSET('Inwentaryzacja'!$D$6,169,0)=""),"",OFFSET('Inwentaryzacja'!$D$6,169,0))</f>
      </c>
      <c r="F186" s="8">
        <f>IF(AND(ISNUMBER($D186),ISNUMBER($E186)),ROUND($D186*$E186,2),"")</f>
      </c>
    </row>
    <row r="187">
      <c r="A187" s="7">
        <f>IF(OR(OFFSET('Inwentaryzacja'!$A$6,170,0)&lt;&gt;"",LEN($D187)&gt;0,LEN($E187)&gt;0),COUNT($A$18:$A186)+1,"")</f>
      </c>
      <c r="B187" s="7">
        <f>IF(OFFSET('Inwentaryzacja'!$A$6,170,0)&lt;&gt;"",OFFSET('Inwentaryzacja'!$A$6,170,0),IF(AND(ISNUMBER($A186),COUNT($A187:$A$517)=0),"Spis zakończono na pozycji "&amp;$A186,""))</f>
      </c>
      <c r="C187" s="7">
        <f>IF(OR(OFFSET('Inwentaryzacja'!$A$6,170,0)="",OFFSET('Inwentaryzacja'!$B$6,170,0)=""),"",OFFSET('Inwentaryzacja'!$B$6,170,0))</f>
      </c>
      <c r="D187" s="7">
        <f>IF(OR(OFFSET('Inwentaryzacja'!$A$6,170,0)="",OFFSET('Inwentaryzacja'!$D$6,170,0)=""),"",OFFSET('Inwentaryzacja'!$D$6,170,0))</f>
      </c>
      <c r="F187" s="8">
        <f>IF(AND(ISNUMBER($D187),ISNUMBER($E187)),ROUND($D187*$E187,2),"")</f>
      </c>
    </row>
    <row r="188">
      <c r="A188" s="7">
        <f>IF(OR(OFFSET('Inwentaryzacja'!$A$6,171,0)&lt;&gt;"",LEN($D188)&gt;0,LEN($E188)&gt;0),COUNT($A$18:$A187)+1,"")</f>
      </c>
      <c r="B188" s="7">
        <f>IF(OFFSET('Inwentaryzacja'!$A$6,171,0)&lt;&gt;"",OFFSET('Inwentaryzacja'!$A$6,171,0),IF(AND(ISNUMBER($A187),COUNT($A188:$A$517)=0),"Spis zakończono na pozycji "&amp;$A187,""))</f>
      </c>
      <c r="C188" s="7">
        <f>IF(OR(OFFSET('Inwentaryzacja'!$A$6,171,0)="",OFFSET('Inwentaryzacja'!$B$6,171,0)=""),"",OFFSET('Inwentaryzacja'!$B$6,171,0))</f>
      </c>
      <c r="D188" s="7">
        <f>IF(OR(OFFSET('Inwentaryzacja'!$A$6,171,0)="",OFFSET('Inwentaryzacja'!$D$6,171,0)=""),"",OFFSET('Inwentaryzacja'!$D$6,171,0))</f>
      </c>
      <c r="F188" s="8">
        <f>IF(AND(ISNUMBER($D188),ISNUMBER($E188)),ROUND($D188*$E188,2),"")</f>
      </c>
    </row>
    <row r="189">
      <c r="A189" s="7">
        <f>IF(OR(OFFSET('Inwentaryzacja'!$A$6,172,0)&lt;&gt;"",LEN($D189)&gt;0,LEN($E189)&gt;0),COUNT($A$18:$A188)+1,"")</f>
      </c>
      <c r="B189" s="7">
        <f>IF(OFFSET('Inwentaryzacja'!$A$6,172,0)&lt;&gt;"",OFFSET('Inwentaryzacja'!$A$6,172,0),IF(AND(ISNUMBER($A188),COUNT($A189:$A$517)=0),"Spis zakończono na pozycji "&amp;$A188,""))</f>
      </c>
      <c r="C189" s="7">
        <f>IF(OR(OFFSET('Inwentaryzacja'!$A$6,172,0)="",OFFSET('Inwentaryzacja'!$B$6,172,0)=""),"",OFFSET('Inwentaryzacja'!$B$6,172,0))</f>
      </c>
      <c r="D189" s="7">
        <f>IF(OR(OFFSET('Inwentaryzacja'!$A$6,172,0)="",OFFSET('Inwentaryzacja'!$D$6,172,0)=""),"",OFFSET('Inwentaryzacja'!$D$6,172,0))</f>
      </c>
      <c r="F189" s="8">
        <f>IF(AND(ISNUMBER($D189),ISNUMBER($E189)),ROUND($D189*$E189,2),"")</f>
      </c>
    </row>
    <row r="190">
      <c r="A190" s="7">
        <f>IF(OR(OFFSET('Inwentaryzacja'!$A$6,173,0)&lt;&gt;"",LEN($D190)&gt;0,LEN($E190)&gt;0),COUNT($A$18:$A189)+1,"")</f>
      </c>
      <c r="B190" s="7">
        <f>IF(OFFSET('Inwentaryzacja'!$A$6,173,0)&lt;&gt;"",OFFSET('Inwentaryzacja'!$A$6,173,0),IF(AND(ISNUMBER($A189),COUNT($A190:$A$517)=0),"Spis zakończono na pozycji "&amp;$A189,""))</f>
      </c>
      <c r="C190" s="7">
        <f>IF(OR(OFFSET('Inwentaryzacja'!$A$6,173,0)="",OFFSET('Inwentaryzacja'!$B$6,173,0)=""),"",OFFSET('Inwentaryzacja'!$B$6,173,0))</f>
      </c>
      <c r="D190" s="7">
        <f>IF(OR(OFFSET('Inwentaryzacja'!$A$6,173,0)="",OFFSET('Inwentaryzacja'!$D$6,173,0)=""),"",OFFSET('Inwentaryzacja'!$D$6,173,0))</f>
      </c>
      <c r="F190" s="8">
        <f>IF(AND(ISNUMBER($D190),ISNUMBER($E190)),ROUND($D190*$E190,2),"")</f>
      </c>
    </row>
    <row r="191">
      <c r="A191" s="7">
        <f>IF(OR(OFFSET('Inwentaryzacja'!$A$6,174,0)&lt;&gt;"",LEN($D191)&gt;0,LEN($E191)&gt;0),COUNT($A$18:$A190)+1,"")</f>
      </c>
      <c r="B191" s="7">
        <f>IF(OFFSET('Inwentaryzacja'!$A$6,174,0)&lt;&gt;"",OFFSET('Inwentaryzacja'!$A$6,174,0),IF(AND(ISNUMBER($A190),COUNT($A191:$A$517)=0),"Spis zakończono na pozycji "&amp;$A190,""))</f>
      </c>
      <c r="C191" s="7">
        <f>IF(OR(OFFSET('Inwentaryzacja'!$A$6,174,0)="",OFFSET('Inwentaryzacja'!$B$6,174,0)=""),"",OFFSET('Inwentaryzacja'!$B$6,174,0))</f>
      </c>
      <c r="D191" s="7">
        <f>IF(OR(OFFSET('Inwentaryzacja'!$A$6,174,0)="",OFFSET('Inwentaryzacja'!$D$6,174,0)=""),"",OFFSET('Inwentaryzacja'!$D$6,174,0))</f>
      </c>
      <c r="F191" s="8">
        <f>IF(AND(ISNUMBER($D191),ISNUMBER($E191)),ROUND($D191*$E191,2),"")</f>
      </c>
    </row>
    <row r="192">
      <c r="A192" s="7">
        <f>IF(OR(OFFSET('Inwentaryzacja'!$A$6,175,0)&lt;&gt;"",LEN($D192)&gt;0,LEN($E192)&gt;0),COUNT($A$18:$A191)+1,"")</f>
      </c>
      <c r="B192" s="7">
        <f>IF(OFFSET('Inwentaryzacja'!$A$6,175,0)&lt;&gt;"",OFFSET('Inwentaryzacja'!$A$6,175,0),IF(AND(ISNUMBER($A191),COUNT($A192:$A$517)=0),"Spis zakończono na pozycji "&amp;$A191,""))</f>
      </c>
      <c r="C192" s="7">
        <f>IF(OR(OFFSET('Inwentaryzacja'!$A$6,175,0)="",OFFSET('Inwentaryzacja'!$B$6,175,0)=""),"",OFFSET('Inwentaryzacja'!$B$6,175,0))</f>
      </c>
      <c r="D192" s="7">
        <f>IF(OR(OFFSET('Inwentaryzacja'!$A$6,175,0)="",OFFSET('Inwentaryzacja'!$D$6,175,0)=""),"",OFFSET('Inwentaryzacja'!$D$6,175,0))</f>
      </c>
      <c r="F192" s="8">
        <f>IF(AND(ISNUMBER($D192),ISNUMBER($E192)),ROUND($D192*$E192,2),"")</f>
      </c>
    </row>
    <row r="193">
      <c r="A193" s="7">
        <f>IF(OR(OFFSET('Inwentaryzacja'!$A$6,176,0)&lt;&gt;"",LEN($D193)&gt;0,LEN($E193)&gt;0),COUNT($A$18:$A192)+1,"")</f>
      </c>
      <c r="B193" s="7">
        <f>IF(OFFSET('Inwentaryzacja'!$A$6,176,0)&lt;&gt;"",OFFSET('Inwentaryzacja'!$A$6,176,0),IF(AND(ISNUMBER($A192),COUNT($A193:$A$517)=0),"Spis zakończono na pozycji "&amp;$A192,""))</f>
      </c>
      <c r="C193" s="7">
        <f>IF(OR(OFFSET('Inwentaryzacja'!$A$6,176,0)="",OFFSET('Inwentaryzacja'!$B$6,176,0)=""),"",OFFSET('Inwentaryzacja'!$B$6,176,0))</f>
      </c>
      <c r="D193" s="7">
        <f>IF(OR(OFFSET('Inwentaryzacja'!$A$6,176,0)="",OFFSET('Inwentaryzacja'!$D$6,176,0)=""),"",OFFSET('Inwentaryzacja'!$D$6,176,0))</f>
      </c>
      <c r="F193" s="8">
        <f>IF(AND(ISNUMBER($D193),ISNUMBER($E193)),ROUND($D193*$E193,2),"")</f>
      </c>
    </row>
    <row r="194">
      <c r="A194" s="7">
        <f>IF(OR(OFFSET('Inwentaryzacja'!$A$6,177,0)&lt;&gt;"",LEN($D194)&gt;0,LEN($E194)&gt;0),COUNT($A$18:$A193)+1,"")</f>
      </c>
      <c r="B194" s="7">
        <f>IF(OFFSET('Inwentaryzacja'!$A$6,177,0)&lt;&gt;"",OFFSET('Inwentaryzacja'!$A$6,177,0),IF(AND(ISNUMBER($A193),COUNT($A194:$A$517)=0),"Spis zakończono na pozycji "&amp;$A193,""))</f>
      </c>
      <c r="C194" s="7">
        <f>IF(OR(OFFSET('Inwentaryzacja'!$A$6,177,0)="",OFFSET('Inwentaryzacja'!$B$6,177,0)=""),"",OFFSET('Inwentaryzacja'!$B$6,177,0))</f>
      </c>
      <c r="D194" s="7">
        <f>IF(OR(OFFSET('Inwentaryzacja'!$A$6,177,0)="",OFFSET('Inwentaryzacja'!$D$6,177,0)=""),"",OFFSET('Inwentaryzacja'!$D$6,177,0))</f>
      </c>
      <c r="F194" s="8">
        <f>IF(AND(ISNUMBER($D194),ISNUMBER($E194)),ROUND($D194*$E194,2),"")</f>
      </c>
    </row>
    <row r="195">
      <c r="A195" s="7">
        <f>IF(OR(OFFSET('Inwentaryzacja'!$A$6,178,0)&lt;&gt;"",LEN($D195)&gt;0,LEN($E195)&gt;0),COUNT($A$18:$A194)+1,"")</f>
      </c>
      <c r="B195" s="7">
        <f>IF(OFFSET('Inwentaryzacja'!$A$6,178,0)&lt;&gt;"",OFFSET('Inwentaryzacja'!$A$6,178,0),IF(AND(ISNUMBER($A194),COUNT($A195:$A$517)=0),"Spis zakończono na pozycji "&amp;$A194,""))</f>
      </c>
      <c r="C195" s="7">
        <f>IF(OR(OFFSET('Inwentaryzacja'!$A$6,178,0)="",OFFSET('Inwentaryzacja'!$B$6,178,0)=""),"",OFFSET('Inwentaryzacja'!$B$6,178,0))</f>
      </c>
      <c r="D195" s="7">
        <f>IF(OR(OFFSET('Inwentaryzacja'!$A$6,178,0)="",OFFSET('Inwentaryzacja'!$D$6,178,0)=""),"",OFFSET('Inwentaryzacja'!$D$6,178,0))</f>
      </c>
      <c r="F195" s="8">
        <f>IF(AND(ISNUMBER($D195),ISNUMBER($E195)),ROUND($D195*$E195,2),"")</f>
      </c>
    </row>
    <row r="196">
      <c r="A196" s="7">
        <f>IF(OR(OFFSET('Inwentaryzacja'!$A$6,179,0)&lt;&gt;"",LEN($D196)&gt;0,LEN($E196)&gt;0),COUNT($A$18:$A195)+1,"")</f>
      </c>
      <c r="B196" s="7">
        <f>IF(OFFSET('Inwentaryzacja'!$A$6,179,0)&lt;&gt;"",OFFSET('Inwentaryzacja'!$A$6,179,0),IF(AND(ISNUMBER($A195),COUNT($A196:$A$517)=0),"Spis zakończono na pozycji "&amp;$A195,""))</f>
      </c>
      <c r="C196" s="7">
        <f>IF(OR(OFFSET('Inwentaryzacja'!$A$6,179,0)="",OFFSET('Inwentaryzacja'!$B$6,179,0)=""),"",OFFSET('Inwentaryzacja'!$B$6,179,0))</f>
      </c>
      <c r="D196" s="7">
        <f>IF(OR(OFFSET('Inwentaryzacja'!$A$6,179,0)="",OFFSET('Inwentaryzacja'!$D$6,179,0)=""),"",OFFSET('Inwentaryzacja'!$D$6,179,0))</f>
      </c>
      <c r="F196" s="8">
        <f>IF(AND(ISNUMBER($D196),ISNUMBER($E196)),ROUND($D196*$E196,2),"")</f>
      </c>
    </row>
    <row r="197">
      <c r="A197" s="7">
        <f>IF(OR(OFFSET('Inwentaryzacja'!$A$6,180,0)&lt;&gt;"",LEN($D197)&gt;0,LEN($E197)&gt;0),COUNT($A$18:$A196)+1,"")</f>
      </c>
      <c r="B197" s="7">
        <f>IF(OFFSET('Inwentaryzacja'!$A$6,180,0)&lt;&gt;"",OFFSET('Inwentaryzacja'!$A$6,180,0),IF(AND(ISNUMBER($A196),COUNT($A197:$A$517)=0),"Spis zakończono na pozycji "&amp;$A196,""))</f>
      </c>
      <c r="C197" s="7">
        <f>IF(OR(OFFSET('Inwentaryzacja'!$A$6,180,0)="",OFFSET('Inwentaryzacja'!$B$6,180,0)=""),"",OFFSET('Inwentaryzacja'!$B$6,180,0))</f>
      </c>
      <c r="D197" s="7">
        <f>IF(OR(OFFSET('Inwentaryzacja'!$A$6,180,0)="",OFFSET('Inwentaryzacja'!$D$6,180,0)=""),"",OFFSET('Inwentaryzacja'!$D$6,180,0))</f>
      </c>
      <c r="F197" s="8">
        <f>IF(AND(ISNUMBER($D197),ISNUMBER($E197)),ROUND($D197*$E197,2),"")</f>
      </c>
    </row>
    <row r="198">
      <c r="A198" s="7">
        <f>IF(OR(OFFSET('Inwentaryzacja'!$A$6,181,0)&lt;&gt;"",LEN($D198)&gt;0,LEN($E198)&gt;0),COUNT($A$18:$A197)+1,"")</f>
      </c>
      <c r="B198" s="7">
        <f>IF(OFFSET('Inwentaryzacja'!$A$6,181,0)&lt;&gt;"",OFFSET('Inwentaryzacja'!$A$6,181,0),IF(AND(ISNUMBER($A197),COUNT($A198:$A$517)=0),"Spis zakończono na pozycji "&amp;$A197,""))</f>
      </c>
      <c r="C198" s="7">
        <f>IF(OR(OFFSET('Inwentaryzacja'!$A$6,181,0)="",OFFSET('Inwentaryzacja'!$B$6,181,0)=""),"",OFFSET('Inwentaryzacja'!$B$6,181,0))</f>
      </c>
      <c r="D198" s="7">
        <f>IF(OR(OFFSET('Inwentaryzacja'!$A$6,181,0)="",OFFSET('Inwentaryzacja'!$D$6,181,0)=""),"",OFFSET('Inwentaryzacja'!$D$6,181,0))</f>
      </c>
      <c r="F198" s="8">
        <f>IF(AND(ISNUMBER($D198),ISNUMBER($E198)),ROUND($D198*$E198,2),"")</f>
      </c>
    </row>
    <row r="199">
      <c r="A199" s="7">
        <f>IF(OR(OFFSET('Inwentaryzacja'!$A$6,182,0)&lt;&gt;"",LEN($D199)&gt;0,LEN($E199)&gt;0),COUNT($A$18:$A198)+1,"")</f>
      </c>
      <c r="B199" s="7">
        <f>IF(OFFSET('Inwentaryzacja'!$A$6,182,0)&lt;&gt;"",OFFSET('Inwentaryzacja'!$A$6,182,0),IF(AND(ISNUMBER($A198),COUNT($A199:$A$517)=0),"Spis zakończono na pozycji "&amp;$A198,""))</f>
      </c>
      <c r="C199" s="7">
        <f>IF(OR(OFFSET('Inwentaryzacja'!$A$6,182,0)="",OFFSET('Inwentaryzacja'!$B$6,182,0)=""),"",OFFSET('Inwentaryzacja'!$B$6,182,0))</f>
      </c>
      <c r="D199" s="7">
        <f>IF(OR(OFFSET('Inwentaryzacja'!$A$6,182,0)="",OFFSET('Inwentaryzacja'!$D$6,182,0)=""),"",OFFSET('Inwentaryzacja'!$D$6,182,0))</f>
      </c>
      <c r="F199" s="8">
        <f>IF(AND(ISNUMBER($D199),ISNUMBER($E199)),ROUND($D199*$E199,2),"")</f>
      </c>
    </row>
    <row r="200">
      <c r="A200" s="7">
        <f>IF(OR(OFFSET('Inwentaryzacja'!$A$6,183,0)&lt;&gt;"",LEN($D200)&gt;0,LEN($E200)&gt;0),COUNT($A$18:$A199)+1,"")</f>
      </c>
      <c r="B200" s="7">
        <f>IF(OFFSET('Inwentaryzacja'!$A$6,183,0)&lt;&gt;"",OFFSET('Inwentaryzacja'!$A$6,183,0),IF(AND(ISNUMBER($A199),COUNT($A200:$A$517)=0),"Spis zakończono na pozycji "&amp;$A199,""))</f>
      </c>
      <c r="C200" s="7">
        <f>IF(OR(OFFSET('Inwentaryzacja'!$A$6,183,0)="",OFFSET('Inwentaryzacja'!$B$6,183,0)=""),"",OFFSET('Inwentaryzacja'!$B$6,183,0))</f>
      </c>
      <c r="D200" s="7">
        <f>IF(OR(OFFSET('Inwentaryzacja'!$A$6,183,0)="",OFFSET('Inwentaryzacja'!$D$6,183,0)=""),"",OFFSET('Inwentaryzacja'!$D$6,183,0))</f>
      </c>
      <c r="F200" s="8">
        <f>IF(AND(ISNUMBER($D200),ISNUMBER($E200)),ROUND($D200*$E200,2),"")</f>
      </c>
    </row>
    <row r="201">
      <c r="A201" s="7">
        <f>IF(OR(OFFSET('Inwentaryzacja'!$A$6,184,0)&lt;&gt;"",LEN($D201)&gt;0,LEN($E201)&gt;0),COUNT($A$18:$A200)+1,"")</f>
      </c>
      <c r="B201" s="7">
        <f>IF(OFFSET('Inwentaryzacja'!$A$6,184,0)&lt;&gt;"",OFFSET('Inwentaryzacja'!$A$6,184,0),IF(AND(ISNUMBER($A200),COUNT($A201:$A$517)=0),"Spis zakończono na pozycji "&amp;$A200,""))</f>
      </c>
      <c r="C201" s="7">
        <f>IF(OR(OFFSET('Inwentaryzacja'!$A$6,184,0)="",OFFSET('Inwentaryzacja'!$B$6,184,0)=""),"",OFFSET('Inwentaryzacja'!$B$6,184,0))</f>
      </c>
      <c r="D201" s="7">
        <f>IF(OR(OFFSET('Inwentaryzacja'!$A$6,184,0)="",OFFSET('Inwentaryzacja'!$D$6,184,0)=""),"",OFFSET('Inwentaryzacja'!$D$6,184,0))</f>
      </c>
      <c r="F201" s="8">
        <f>IF(AND(ISNUMBER($D201),ISNUMBER($E201)),ROUND($D201*$E201,2),"")</f>
      </c>
    </row>
    <row r="202">
      <c r="A202" s="7">
        <f>IF(OR(OFFSET('Inwentaryzacja'!$A$6,185,0)&lt;&gt;"",LEN($D202)&gt;0,LEN($E202)&gt;0),COUNT($A$18:$A201)+1,"")</f>
      </c>
      <c r="B202" s="7">
        <f>IF(OFFSET('Inwentaryzacja'!$A$6,185,0)&lt;&gt;"",OFFSET('Inwentaryzacja'!$A$6,185,0),IF(AND(ISNUMBER($A201),COUNT($A202:$A$517)=0),"Spis zakończono na pozycji "&amp;$A201,""))</f>
      </c>
      <c r="C202" s="7">
        <f>IF(OR(OFFSET('Inwentaryzacja'!$A$6,185,0)="",OFFSET('Inwentaryzacja'!$B$6,185,0)=""),"",OFFSET('Inwentaryzacja'!$B$6,185,0))</f>
      </c>
      <c r="D202" s="7">
        <f>IF(OR(OFFSET('Inwentaryzacja'!$A$6,185,0)="",OFFSET('Inwentaryzacja'!$D$6,185,0)=""),"",OFFSET('Inwentaryzacja'!$D$6,185,0))</f>
      </c>
      <c r="F202" s="8">
        <f>IF(AND(ISNUMBER($D202),ISNUMBER($E202)),ROUND($D202*$E202,2),"")</f>
      </c>
    </row>
    <row r="203">
      <c r="A203" s="7">
        <f>IF(OR(OFFSET('Inwentaryzacja'!$A$6,186,0)&lt;&gt;"",LEN($D203)&gt;0,LEN($E203)&gt;0),COUNT($A$18:$A202)+1,"")</f>
      </c>
      <c r="B203" s="7">
        <f>IF(OFFSET('Inwentaryzacja'!$A$6,186,0)&lt;&gt;"",OFFSET('Inwentaryzacja'!$A$6,186,0),IF(AND(ISNUMBER($A202),COUNT($A203:$A$517)=0),"Spis zakończono na pozycji "&amp;$A202,""))</f>
      </c>
      <c r="C203" s="7">
        <f>IF(OR(OFFSET('Inwentaryzacja'!$A$6,186,0)="",OFFSET('Inwentaryzacja'!$B$6,186,0)=""),"",OFFSET('Inwentaryzacja'!$B$6,186,0))</f>
      </c>
      <c r="D203" s="7">
        <f>IF(OR(OFFSET('Inwentaryzacja'!$A$6,186,0)="",OFFSET('Inwentaryzacja'!$D$6,186,0)=""),"",OFFSET('Inwentaryzacja'!$D$6,186,0))</f>
      </c>
      <c r="F203" s="8">
        <f>IF(AND(ISNUMBER($D203),ISNUMBER($E203)),ROUND($D203*$E203,2),"")</f>
      </c>
    </row>
    <row r="204">
      <c r="A204" s="7">
        <f>IF(OR(OFFSET('Inwentaryzacja'!$A$6,187,0)&lt;&gt;"",LEN($D204)&gt;0,LEN($E204)&gt;0),COUNT($A$18:$A203)+1,"")</f>
      </c>
      <c r="B204" s="7">
        <f>IF(OFFSET('Inwentaryzacja'!$A$6,187,0)&lt;&gt;"",OFFSET('Inwentaryzacja'!$A$6,187,0),IF(AND(ISNUMBER($A203),COUNT($A204:$A$517)=0),"Spis zakończono na pozycji "&amp;$A203,""))</f>
      </c>
      <c r="C204" s="7">
        <f>IF(OR(OFFSET('Inwentaryzacja'!$A$6,187,0)="",OFFSET('Inwentaryzacja'!$B$6,187,0)=""),"",OFFSET('Inwentaryzacja'!$B$6,187,0))</f>
      </c>
      <c r="D204" s="7">
        <f>IF(OR(OFFSET('Inwentaryzacja'!$A$6,187,0)="",OFFSET('Inwentaryzacja'!$D$6,187,0)=""),"",OFFSET('Inwentaryzacja'!$D$6,187,0))</f>
      </c>
      <c r="F204" s="8">
        <f>IF(AND(ISNUMBER($D204),ISNUMBER($E204)),ROUND($D204*$E204,2),"")</f>
      </c>
    </row>
    <row r="205">
      <c r="A205" s="7">
        <f>IF(OR(OFFSET('Inwentaryzacja'!$A$6,188,0)&lt;&gt;"",LEN($D205)&gt;0,LEN($E205)&gt;0),COUNT($A$18:$A204)+1,"")</f>
      </c>
      <c r="B205" s="7">
        <f>IF(OFFSET('Inwentaryzacja'!$A$6,188,0)&lt;&gt;"",OFFSET('Inwentaryzacja'!$A$6,188,0),IF(AND(ISNUMBER($A204),COUNT($A205:$A$517)=0),"Spis zakończono na pozycji "&amp;$A204,""))</f>
      </c>
      <c r="C205" s="7">
        <f>IF(OR(OFFSET('Inwentaryzacja'!$A$6,188,0)="",OFFSET('Inwentaryzacja'!$B$6,188,0)=""),"",OFFSET('Inwentaryzacja'!$B$6,188,0))</f>
      </c>
      <c r="D205" s="7">
        <f>IF(OR(OFFSET('Inwentaryzacja'!$A$6,188,0)="",OFFSET('Inwentaryzacja'!$D$6,188,0)=""),"",OFFSET('Inwentaryzacja'!$D$6,188,0))</f>
      </c>
      <c r="F205" s="8">
        <f>IF(AND(ISNUMBER($D205),ISNUMBER($E205)),ROUND($D205*$E205,2),"")</f>
      </c>
    </row>
    <row r="206">
      <c r="A206" s="7">
        <f>IF(OR(OFFSET('Inwentaryzacja'!$A$6,189,0)&lt;&gt;"",LEN($D206)&gt;0,LEN($E206)&gt;0),COUNT($A$18:$A205)+1,"")</f>
      </c>
      <c r="B206" s="7">
        <f>IF(OFFSET('Inwentaryzacja'!$A$6,189,0)&lt;&gt;"",OFFSET('Inwentaryzacja'!$A$6,189,0),IF(AND(ISNUMBER($A205),COUNT($A206:$A$517)=0),"Spis zakończono na pozycji "&amp;$A205,""))</f>
      </c>
      <c r="C206" s="7">
        <f>IF(OR(OFFSET('Inwentaryzacja'!$A$6,189,0)="",OFFSET('Inwentaryzacja'!$B$6,189,0)=""),"",OFFSET('Inwentaryzacja'!$B$6,189,0))</f>
      </c>
      <c r="D206" s="7">
        <f>IF(OR(OFFSET('Inwentaryzacja'!$A$6,189,0)="",OFFSET('Inwentaryzacja'!$D$6,189,0)=""),"",OFFSET('Inwentaryzacja'!$D$6,189,0))</f>
      </c>
      <c r="F206" s="8">
        <f>IF(AND(ISNUMBER($D206),ISNUMBER($E206)),ROUND($D206*$E206,2),"")</f>
      </c>
    </row>
    <row r="207">
      <c r="A207" s="7">
        <f>IF(OR(OFFSET('Inwentaryzacja'!$A$6,190,0)&lt;&gt;"",LEN($D207)&gt;0,LEN($E207)&gt;0),COUNT($A$18:$A206)+1,"")</f>
      </c>
      <c r="B207" s="7">
        <f>IF(OFFSET('Inwentaryzacja'!$A$6,190,0)&lt;&gt;"",OFFSET('Inwentaryzacja'!$A$6,190,0),IF(AND(ISNUMBER($A206),COUNT($A207:$A$517)=0),"Spis zakończono na pozycji "&amp;$A206,""))</f>
      </c>
      <c r="C207" s="7">
        <f>IF(OR(OFFSET('Inwentaryzacja'!$A$6,190,0)="",OFFSET('Inwentaryzacja'!$B$6,190,0)=""),"",OFFSET('Inwentaryzacja'!$B$6,190,0))</f>
      </c>
      <c r="D207" s="7">
        <f>IF(OR(OFFSET('Inwentaryzacja'!$A$6,190,0)="",OFFSET('Inwentaryzacja'!$D$6,190,0)=""),"",OFFSET('Inwentaryzacja'!$D$6,190,0))</f>
      </c>
      <c r="F207" s="8">
        <f>IF(AND(ISNUMBER($D207),ISNUMBER($E207)),ROUND($D207*$E207,2),"")</f>
      </c>
    </row>
    <row r="208">
      <c r="A208" s="7">
        <f>IF(OR(OFFSET('Inwentaryzacja'!$A$6,191,0)&lt;&gt;"",LEN($D208)&gt;0,LEN($E208)&gt;0),COUNT($A$18:$A207)+1,"")</f>
      </c>
      <c r="B208" s="7">
        <f>IF(OFFSET('Inwentaryzacja'!$A$6,191,0)&lt;&gt;"",OFFSET('Inwentaryzacja'!$A$6,191,0),IF(AND(ISNUMBER($A207),COUNT($A208:$A$517)=0),"Spis zakończono na pozycji "&amp;$A207,""))</f>
      </c>
      <c r="C208" s="7">
        <f>IF(OR(OFFSET('Inwentaryzacja'!$A$6,191,0)="",OFFSET('Inwentaryzacja'!$B$6,191,0)=""),"",OFFSET('Inwentaryzacja'!$B$6,191,0))</f>
      </c>
      <c r="D208" s="7">
        <f>IF(OR(OFFSET('Inwentaryzacja'!$A$6,191,0)="",OFFSET('Inwentaryzacja'!$D$6,191,0)=""),"",OFFSET('Inwentaryzacja'!$D$6,191,0))</f>
      </c>
      <c r="F208" s="8">
        <f>IF(AND(ISNUMBER($D208),ISNUMBER($E208)),ROUND($D208*$E208,2),"")</f>
      </c>
    </row>
    <row r="209">
      <c r="A209" s="7">
        <f>IF(OR(OFFSET('Inwentaryzacja'!$A$6,192,0)&lt;&gt;"",LEN($D209)&gt;0,LEN($E209)&gt;0),COUNT($A$18:$A208)+1,"")</f>
      </c>
      <c r="B209" s="7">
        <f>IF(OFFSET('Inwentaryzacja'!$A$6,192,0)&lt;&gt;"",OFFSET('Inwentaryzacja'!$A$6,192,0),IF(AND(ISNUMBER($A208),COUNT($A209:$A$517)=0),"Spis zakończono na pozycji "&amp;$A208,""))</f>
      </c>
      <c r="C209" s="7">
        <f>IF(OR(OFFSET('Inwentaryzacja'!$A$6,192,0)="",OFFSET('Inwentaryzacja'!$B$6,192,0)=""),"",OFFSET('Inwentaryzacja'!$B$6,192,0))</f>
      </c>
      <c r="D209" s="7">
        <f>IF(OR(OFFSET('Inwentaryzacja'!$A$6,192,0)="",OFFSET('Inwentaryzacja'!$D$6,192,0)=""),"",OFFSET('Inwentaryzacja'!$D$6,192,0))</f>
      </c>
      <c r="F209" s="8">
        <f>IF(AND(ISNUMBER($D209),ISNUMBER($E209)),ROUND($D209*$E209,2),"")</f>
      </c>
    </row>
    <row r="210">
      <c r="A210" s="7">
        <f>IF(OR(OFFSET('Inwentaryzacja'!$A$6,193,0)&lt;&gt;"",LEN($D210)&gt;0,LEN($E210)&gt;0),COUNT($A$18:$A209)+1,"")</f>
      </c>
      <c r="B210" s="7">
        <f>IF(OFFSET('Inwentaryzacja'!$A$6,193,0)&lt;&gt;"",OFFSET('Inwentaryzacja'!$A$6,193,0),IF(AND(ISNUMBER($A209),COUNT($A210:$A$517)=0),"Spis zakończono na pozycji "&amp;$A209,""))</f>
      </c>
      <c r="C210" s="7">
        <f>IF(OR(OFFSET('Inwentaryzacja'!$A$6,193,0)="",OFFSET('Inwentaryzacja'!$B$6,193,0)=""),"",OFFSET('Inwentaryzacja'!$B$6,193,0))</f>
      </c>
      <c r="D210" s="7">
        <f>IF(OR(OFFSET('Inwentaryzacja'!$A$6,193,0)="",OFFSET('Inwentaryzacja'!$D$6,193,0)=""),"",OFFSET('Inwentaryzacja'!$D$6,193,0))</f>
      </c>
      <c r="F210" s="8">
        <f>IF(AND(ISNUMBER($D210),ISNUMBER($E210)),ROUND($D210*$E210,2),"")</f>
      </c>
    </row>
    <row r="211">
      <c r="A211" s="7">
        <f>IF(OR(OFFSET('Inwentaryzacja'!$A$6,194,0)&lt;&gt;"",LEN($D211)&gt;0,LEN($E211)&gt;0),COUNT($A$18:$A210)+1,"")</f>
      </c>
      <c r="B211" s="7">
        <f>IF(OFFSET('Inwentaryzacja'!$A$6,194,0)&lt;&gt;"",OFFSET('Inwentaryzacja'!$A$6,194,0),IF(AND(ISNUMBER($A210),COUNT($A211:$A$517)=0),"Spis zakończono na pozycji "&amp;$A210,""))</f>
      </c>
      <c r="C211" s="7">
        <f>IF(OR(OFFSET('Inwentaryzacja'!$A$6,194,0)="",OFFSET('Inwentaryzacja'!$B$6,194,0)=""),"",OFFSET('Inwentaryzacja'!$B$6,194,0))</f>
      </c>
      <c r="D211" s="7">
        <f>IF(OR(OFFSET('Inwentaryzacja'!$A$6,194,0)="",OFFSET('Inwentaryzacja'!$D$6,194,0)=""),"",OFFSET('Inwentaryzacja'!$D$6,194,0))</f>
      </c>
      <c r="F211" s="8">
        <f>IF(AND(ISNUMBER($D211),ISNUMBER($E211)),ROUND($D211*$E211,2),"")</f>
      </c>
    </row>
    <row r="212">
      <c r="A212" s="7">
        <f>IF(OR(OFFSET('Inwentaryzacja'!$A$6,195,0)&lt;&gt;"",LEN($D212)&gt;0,LEN($E212)&gt;0),COUNT($A$18:$A211)+1,"")</f>
      </c>
      <c r="B212" s="7">
        <f>IF(OFFSET('Inwentaryzacja'!$A$6,195,0)&lt;&gt;"",OFFSET('Inwentaryzacja'!$A$6,195,0),IF(AND(ISNUMBER($A211),COUNT($A212:$A$517)=0),"Spis zakończono na pozycji "&amp;$A211,""))</f>
      </c>
      <c r="C212" s="7">
        <f>IF(OR(OFFSET('Inwentaryzacja'!$A$6,195,0)="",OFFSET('Inwentaryzacja'!$B$6,195,0)=""),"",OFFSET('Inwentaryzacja'!$B$6,195,0))</f>
      </c>
      <c r="D212" s="7">
        <f>IF(OR(OFFSET('Inwentaryzacja'!$A$6,195,0)="",OFFSET('Inwentaryzacja'!$D$6,195,0)=""),"",OFFSET('Inwentaryzacja'!$D$6,195,0))</f>
      </c>
      <c r="F212" s="8">
        <f>IF(AND(ISNUMBER($D212),ISNUMBER($E212)),ROUND($D212*$E212,2),"")</f>
      </c>
    </row>
    <row r="213">
      <c r="A213" s="7">
        <f>IF(OR(OFFSET('Inwentaryzacja'!$A$6,196,0)&lt;&gt;"",LEN($D213)&gt;0,LEN($E213)&gt;0),COUNT($A$18:$A212)+1,"")</f>
      </c>
      <c r="B213" s="7">
        <f>IF(OFFSET('Inwentaryzacja'!$A$6,196,0)&lt;&gt;"",OFFSET('Inwentaryzacja'!$A$6,196,0),IF(AND(ISNUMBER($A212),COUNT($A213:$A$517)=0),"Spis zakończono na pozycji "&amp;$A212,""))</f>
      </c>
      <c r="C213" s="7">
        <f>IF(OR(OFFSET('Inwentaryzacja'!$A$6,196,0)="",OFFSET('Inwentaryzacja'!$B$6,196,0)=""),"",OFFSET('Inwentaryzacja'!$B$6,196,0))</f>
      </c>
      <c r="D213" s="7">
        <f>IF(OR(OFFSET('Inwentaryzacja'!$A$6,196,0)="",OFFSET('Inwentaryzacja'!$D$6,196,0)=""),"",OFFSET('Inwentaryzacja'!$D$6,196,0))</f>
      </c>
      <c r="F213" s="8">
        <f>IF(AND(ISNUMBER($D213),ISNUMBER($E213)),ROUND($D213*$E213,2),"")</f>
      </c>
    </row>
    <row r="214">
      <c r="A214" s="7">
        <f>IF(OR(OFFSET('Inwentaryzacja'!$A$6,197,0)&lt;&gt;"",LEN($D214)&gt;0,LEN($E214)&gt;0),COUNT($A$18:$A213)+1,"")</f>
      </c>
      <c r="B214" s="7">
        <f>IF(OFFSET('Inwentaryzacja'!$A$6,197,0)&lt;&gt;"",OFFSET('Inwentaryzacja'!$A$6,197,0),IF(AND(ISNUMBER($A213),COUNT($A214:$A$517)=0),"Spis zakończono na pozycji "&amp;$A213,""))</f>
      </c>
      <c r="C214" s="7">
        <f>IF(OR(OFFSET('Inwentaryzacja'!$A$6,197,0)="",OFFSET('Inwentaryzacja'!$B$6,197,0)=""),"",OFFSET('Inwentaryzacja'!$B$6,197,0))</f>
      </c>
      <c r="D214" s="7">
        <f>IF(OR(OFFSET('Inwentaryzacja'!$A$6,197,0)="",OFFSET('Inwentaryzacja'!$D$6,197,0)=""),"",OFFSET('Inwentaryzacja'!$D$6,197,0))</f>
      </c>
      <c r="F214" s="8">
        <f>IF(AND(ISNUMBER($D214),ISNUMBER($E214)),ROUND($D214*$E214,2),"")</f>
      </c>
    </row>
    <row r="215">
      <c r="A215" s="7">
        <f>IF(OR(OFFSET('Inwentaryzacja'!$A$6,198,0)&lt;&gt;"",LEN($D215)&gt;0,LEN($E215)&gt;0),COUNT($A$18:$A214)+1,"")</f>
      </c>
      <c r="B215" s="7">
        <f>IF(OFFSET('Inwentaryzacja'!$A$6,198,0)&lt;&gt;"",OFFSET('Inwentaryzacja'!$A$6,198,0),IF(AND(ISNUMBER($A214),COUNT($A215:$A$517)=0),"Spis zakończono na pozycji "&amp;$A214,""))</f>
      </c>
      <c r="C215" s="7">
        <f>IF(OR(OFFSET('Inwentaryzacja'!$A$6,198,0)="",OFFSET('Inwentaryzacja'!$B$6,198,0)=""),"",OFFSET('Inwentaryzacja'!$B$6,198,0))</f>
      </c>
      <c r="D215" s="7">
        <f>IF(OR(OFFSET('Inwentaryzacja'!$A$6,198,0)="",OFFSET('Inwentaryzacja'!$D$6,198,0)=""),"",OFFSET('Inwentaryzacja'!$D$6,198,0))</f>
      </c>
      <c r="F215" s="8">
        <f>IF(AND(ISNUMBER($D215),ISNUMBER($E215)),ROUND($D215*$E215,2),"")</f>
      </c>
    </row>
    <row r="216">
      <c r="A216" s="7">
        <f>IF(OR(OFFSET('Inwentaryzacja'!$A$6,199,0)&lt;&gt;"",LEN($D216)&gt;0,LEN($E216)&gt;0),COUNT($A$18:$A215)+1,"")</f>
      </c>
      <c r="B216" s="7">
        <f>IF(OFFSET('Inwentaryzacja'!$A$6,199,0)&lt;&gt;"",OFFSET('Inwentaryzacja'!$A$6,199,0),IF(AND(ISNUMBER($A215),COUNT($A216:$A$517)=0),"Spis zakończono na pozycji "&amp;$A215,""))</f>
      </c>
      <c r="C216" s="7">
        <f>IF(OR(OFFSET('Inwentaryzacja'!$A$6,199,0)="",OFFSET('Inwentaryzacja'!$B$6,199,0)=""),"",OFFSET('Inwentaryzacja'!$B$6,199,0))</f>
      </c>
      <c r="D216" s="7">
        <f>IF(OR(OFFSET('Inwentaryzacja'!$A$6,199,0)="",OFFSET('Inwentaryzacja'!$D$6,199,0)=""),"",OFFSET('Inwentaryzacja'!$D$6,199,0))</f>
      </c>
      <c r="F216" s="8">
        <f>IF(AND(ISNUMBER($D216),ISNUMBER($E216)),ROUND($D216*$E216,2),"")</f>
      </c>
    </row>
    <row r="217">
      <c r="A217" s="7">
        <f>IF(OR(OFFSET('Inwentaryzacja'!$A$6,200,0)&lt;&gt;"",LEN($D217)&gt;0,LEN($E217)&gt;0),COUNT($A$18:$A216)+1,"")</f>
      </c>
      <c r="B217" s="7">
        <f>IF(OFFSET('Inwentaryzacja'!$A$6,200,0)&lt;&gt;"",OFFSET('Inwentaryzacja'!$A$6,200,0),IF(AND(ISNUMBER($A216),COUNT($A217:$A$517)=0),"Spis zakończono na pozycji "&amp;$A216,""))</f>
      </c>
      <c r="C217" s="7">
        <f>IF(OR(OFFSET('Inwentaryzacja'!$A$6,200,0)="",OFFSET('Inwentaryzacja'!$B$6,200,0)=""),"",OFFSET('Inwentaryzacja'!$B$6,200,0))</f>
      </c>
      <c r="D217" s="7">
        <f>IF(OR(OFFSET('Inwentaryzacja'!$A$6,200,0)="",OFFSET('Inwentaryzacja'!$D$6,200,0)=""),"",OFFSET('Inwentaryzacja'!$D$6,200,0))</f>
      </c>
      <c r="F217" s="8">
        <f>IF(AND(ISNUMBER($D217),ISNUMBER($E217)),ROUND($D217*$E217,2),"")</f>
      </c>
    </row>
    <row r="218">
      <c r="A218" s="7">
        <f>IF(OR(OFFSET('Inwentaryzacja'!$A$6,201,0)&lt;&gt;"",LEN($D218)&gt;0,LEN($E218)&gt;0),COUNT($A$18:$A217)+1,"")</f>
      </c>
      <c r="B218" s="7">
        <f>IF(OFFSET('Inwentaryzacja'!$A$6,201,0)&lt;&gt;"",OFFSET('Inwentaryzacja'!$A$6,201,0),IF(AND(ISNUMBER($A217),COUNT($A218:$A$517)=0),"Spis zakończono na pozycji "&amp;$A217,""))</f>
      </c>
      <c r="C218" s="7">
        <f>IF(OR(OFFSET('Inwentaryzacja'!$A$6,201,0)="",OFFSET('Inwentaryzacja'!$B$6,201,0)=""),"",OFFSET('Inwentaryzacja'!$B$6,201,0))</f>
      </c>
      <c r="D218" s="7">
        <f>IF(OR(OFFSET('Inwentaryzacja'!$A$6,201,0)="",OFFSET('Inwentaryzacja'!$D$6,201,0)=""),"",OFFSET('Inwentaryzacja'!$D$6,201,0))</f>
      </c>
      <c r="F218" s="8">
        <f>IF(AND(ISNUMBER($D218),ISNUMBER($E218)),ROUND($D218*$E218,2),"")</f>
      </c>
    </row>
    <row r="219">
      <c r="A219" s="7">
        <f>IF(OR(OFFSET('Inwentaryzacja'!$A$6,202,0)&lt;&gt;"",LEN($D219)&gt;0,LEN($E219)&gt;0),COUNT($A$18:$A218)+1,"")</f>
      </c>
      <c r="B219" s="7">
        <f>IF(OFFSET('Inwentaryzacja'!$A$6,202,0)&lt;&gt;"",OFFSET('Inwentaryzacja'!$A$6,202,0),IF(AND(ISNUMBER($A218),COUNT($A219:$A$517)=0),"Spis zakończono na pozycji "&amp;$A218,""))</f>
      </c>
      <c r="C219" s="7">
        <f>IF(OR(OFFSET('Inwentaryzacja'!$A$6,202,0)="",OFFSET('Inwentaryzacja'!$B$6,202,0)=""),"",OFFSET('Inwentaryzacja'!$B$6,202,0))</f>
      </c>
      <c r="D219" s="7">
        <f>IF(OR(OFFSET('Inwentaryzacja'!$A$6,202,0)="",OFFSET('Inwentaryzacja'!$D$6,202,0)=""),"",OFFSET('Inwentaryzacja'!$D$6,202,0))</f>
      </c>
      <c r="F219" s="8">
        <f>IF(AND(ISNUMBER($D219),ISNUMBER($E219)),ROUND($D219*$E219,2),"")</f>
      </c>
    </row>
    <row r="220">
      <c r="A220" s="7">
        <f>IF(OR(OFFSET('Inwentaryzacja'!$A$6,203,0)&lt;&gt;"",LEN($D220)&gt;0,LEN($E220)&gt;0),COUNT($A$18:$A219)+1,"")</f>
      </c>
      <c r="B220" s="7">
        <f>IF(OFFSET('Inwentaryzacja'!$A$6,203,0)&lt;&gt;"",OFFSET('Inwentaryzacja'!$A$6,203,0),IF(AND(ISNUMBER($A219),COUNT($A220:$A$517)=0),"Spis zakończono na pozycji "&amp;$A219,""))</f>
      </c>
      <c r="C220" s="7">
        <f>IF(OR(OFFSET('Inwentaryzacja'!$A$6,203,0)="",OFFSET('Inwentaryzacja'!$B$6,203,0)=""),"",OFFSET('Inwentaryzacja'!$B$6,203,0))</f>
      </c>
      <c r="D220" s="7">
        <f>IF(OR(OFFSET('Inwentaryzacja'!$A$6,203,0)="",OFFSET('Inwentaryzacja'!$D$6,203,0)=""),"",OFFSET('Inwentaryzacja'!$D$6,203,0))</f>
      </c>
      <c r="F220" s="8">
        <f>IF(AND(ISNUMBER($D220),ISNUMBER($E220)),ROUND($D220*$E220,2),"")</f>
      </c>
    </row>
    <row r="221">
      <c r="A221" s="7">
        <f>IF(OR(OFFSET('Inwentaryzacja'!$A$6,204,0)&lt;&gt;"",LEN($D221)&gt;0,LEN($E221)&gt;0),COUNT($A$18:$A220)+1,"")</f>
      </c>
      <c r="B221" s="7">
        <f>IF(OFFSET('Inwentaryzacja'!$A$6,204,0)&lt;&gt;"",OFFSET('Inwentaryzacja'!$A$6,204,0),IF(AND(ISNUMBER($A220),COUNT($A221:$A$517)=0),"Spis zakończono na pozycji "&amp;$A220,""))</f>
      </c>
      <c r="C221" s="7">
        <f>IF(OR(OFFSET('Inwentaryzacja'!$A$6,204,0)="",OFFSET('Inwentaryzacja'!$B$6,204,0)=""),"",OFFSET('Inwentaryzacja'!$B$6,204,0))</f>
      </c>
      <c r="D221" s="7">
        <f>IF(OR(OFFSET('Inwentaryzacja'!$A$6,204,0)="",OFFSET('Inwentaryzacja'!$D$6,204,0)=""),"",OFFSET('Inwentaryzacja'!$D$6,204,0))</f>
      </c>
      <c r="F221" s="8">
        <f>IF(AND(ISNUMBER($D221),ISNUMBER($E221)),ROUND($D221*$E221,2),"")</f>
      </c>
    </row>
    <row r="222">
      <c r="A222" s="7">
        <f>IF(OR(OFFSET('Inwentaryzacja'!$A$6,205,0)&lt;&gt;"",LEN($D222)&gt;0,LEN($E222)&gt;0),COUNT($A$18:$A221)+1,"")</f>
      </c>
      <c r="B222" s="7">
        <f>IF(OFFSET('Inwentaryzacja'!$A$6,205,0)&lt;&gt;"",OFFSET('Inwentaryzacja'!$A$6,205,0),IF(AND(ISNUMBER($A221),COUNT($A222:$A$517)=0),"Spis zakończono na pozycji "&amp;$A221,""))</f>
      </c>
      <c r="C222" s="7">
        <f>IF(OR(OFFSET('Inwentaryzacja'!$A$6,205,0)="",OFFSET('Inwentaryzacja'!$B$6,205,0)=""),"",OFFSET('Inwentaryzacja'!$B$6,205,0))</f>
      </c>
      <c r="D222" s="7">
        <f>IF(OR(OFFSET('Inwentaryzacja'!$A$6,205,0)="",OFFSET('Inwentaryzacja'!$D$6,205,0)=""),"",OFFSET('Inwentaryzacja'!$D$6,205,0))</f>
      </c>
      <c r="F222" s="8">
        <f>IF(AND(ISNUMBER($D222),ISNUMBER($E222)),ROUND($D222*$E222,2),"")</f>
      </c>
    </row>
    <row r="223">
      <c r="A223" s="7">
        <f>IF(OR(OFFSET('Inwentaryzacja'!$A$6,206,0)&lt;&gt;"",LEN($D223)&gt;0,LEN($E223)&gt;0),COUNT($A$18:$A222)+1,"")</f>
      </c>
      <c r="B223" s="7">
        <f>IF(OFFSET('Inwentaryzacja'!$A$6,206,0)&lt;&gt;"",OFFSET('Inwentaryzacja'!$A$6,206,0),IF(AND(ISNUMBER($A222),COUNT($A223:$A$517)=0),"Spis zakończono na pozycji "&amp;$A222,""))</f>
      </c>
      <c r="C223" s="7">
        <f>IF(OR(OFFSET('Inwentaryzacja'!$A$6,206,0)="",OFFSET('Inwentaryzacja'!$B$6,206,0)=""),"",OFFSET('Inwentaryzacja'!$B$6,206,0))</f>
      </c>
      <c r="D223" s="7">
        <f>IF(OR(OFFSET('Inwentaryzacja'!$A$6,206,0)="",OFFSET('Inwentaryzacja'!$D$6,206,0)=""),"",OFFSET('Inwentaryzacja'!$D$6,206,0))</f>
      </c>
      <c r="F223" s="8">
        <f>IF(AND(ISNUMBER($D223),ISNUMBER($E223)),ROUND($D223*$E223,2),"")</f>
      </c>
    </row>
    <row r="224">
      <c r="A224" s="7">
        <f>IF(OR(OFFSET('Inwentaryzacja'!$A$6,207,0)&lt;&gt;"",LEN($D224)&gt;0,LEN($E224)&gt;0),COUNT($A$18:$A223)+1,"")</f>
      </c>
      <c r="B224" s="7">
        <f>IF(OFFSET('Inwentaryzacja'!$A$6,207,0)&lt;&gt;"",OFFSET('Inwentaryzacja'!$A$6,207,0),IF(AND(ISNUMBER($A223),COUNT($A224:$A$517)=0),"Spis zakończono na pozycji "&amp;$A223,""))</f>
      </c>
      <c r="C224" s="7">
        <f>IF(OR(OFFSET('Inwentaryzacja'!$A$6,207,0)="",OFFSET('Inwentaryzacja'!$B$6,207,0)=""),"",OFFSET('Inwentaryzacja'!$B$6,207,0))</f>
      </c>
      <c r="D224" s="7">
        <f>IF(OR(OFFSET('Inwentaryzacja'!$A$6,207,0)="",OFFSET('Inwentaryzacja'!$D$6,207,0)=""),"",OFFSET('Inwentaryzacja'!$D$6,207,0))</f>
      </c>
      <c r="F224" s="8">
        <f>IF(AND(ISNUMBER($D224),ISNUMBER($E224)),ROUND($D224*$E224,2),"")</f>
      </c>
    </row>
    <row r="225">
      <c r="A225" s="7">
        <f>IF(OR(OFFSET('Inwentaryzacja'!$A$6,208,0)&lt;&gt;"",LEN($D225)&gt;0,LEN($E225)&gt;0),COUNT($A$18:$A224)+1,"")</f>
      </c>
      <c r="B225" s="7">
        <f>IF(OFFSET('Inwentaryzacja'!$A$6,208,0)&lt;&gt;"",OFFSET('Inwentaryzacja'!$A$6,208,0),IF(AND(ISNUMBER($A224),COUNT($A225:$A$517)=0),"Spis zakończono na pozycji "&amp;$A224,""))</f>
      </c>
      <c r="C225" s="7">
        <f>IF(OR(OFFSET('Inwentaryzacja'!$A$6,208,0)="",OFFSET('Inwentaryzacja'!$B$6,208,0)=""),"",OFFSET('Inwentaryzacja'!$B$6,208,0))</f>
      </c>
      <c r="D225" s="7">
        <f>IF(OR(OFFSET('Inwentaryzacja'!$A$6,208,0)="",OFFSET('Inwentaryzacja'!$D$6,208,0)=""),"",OFFSET('Inwentaryzacja'!$D$6,208,0))</f>
      </c>
      <c r="F225" s="8">
        <f>IF(AND(ISNUMBER($D225),ISNUMBER($E225)),ROUND($D225*$E225,2),"")</f>
      </c>
    </row>
    <row r="226">
      <c r="A226" s="7">
        <f>IF(OR(OFFSET('Inwentaryzacja'!$A$6,209,0)&lt;&gt;"",LEN($D226)&gt;0,LEN($E226)&gt;0),COUNT($A$18:$A225)+1,"")</f>
      </c>
      <c r="B226" s="7">
        <f>IF(OFFSET('Inwentaryzacja'!$A$6,209,0)&lt;&gt;"",OFFSET('Inwentaryzacja'!$A$6,209,0),IF(AND(ISNUMBER($A225),COUNT($A226:$A$517)=0),"Spis zakończono na pozycji "&amp;$A225,""))</f>
      </c>
      <c r="C226" s="7">
        <f>IF(OR(OFFSET('Inwentaryzacja'!$A$6,209,0)="",OFFSET('Inwentaryzacja'!$B$6,209,0)=""),"",OFFSET('Inwentaryzacja'!$B$6,209,0))</f>
      </c>
      <c r="D226" s="7">
        <f>IF(OR(OFFSET('Inwentaryzacja'!$A$6,209,0)="",OFFSET('Inwentaryzacja'!$D$6,209,0)=""),"",OFFSET('Inwentaryzacja'!$D$6,209,0))</f>
      </c>
      <c r="F226" s="8">
        <f>IF(AND(ISNUMBER($D226),ISNUMBER($E226)),ROUND($D226*$E226,2),"")</f>
      </c>
    </row>
    <row r="227">
      <c r="A227" s="7">
        <f>IF(OR(OFFSET('Inwentaryzacja'!$A$6,210,0)&lt;&gt;"",LEN($D227)&gt;0,LEN($E227)&gt;0),COUNT($A$18:$A226)+1,"")</f>
      </c>
      <c r="B227" s="7">
        <f>IF(OFFSET('Inwentaryzacja'!$A$6,210,0)&lt;&gt;"",OFFSET('Inwentaryzacja'!$A$6,210,0),IF(AND(ISNUMBER($A226),COUNT($A227:$A$517)=0),"Spis zakończono na pozycji "&amp;$A226,""))</f>
      </c>
      <c r="C227" s="7">
        <f>IF(OR(OFFSET('Inwentaryzacja'!$A$6,210,0)="",OFFSET('Inwentaryzacja'!$B$6,210,0)=""),"",OFFSET('Inwentaryzacja'!$B$6,210,0))</f>
      </c>
      <c r="D227" s="7">
        <f>IF(OR(OFFSET('Inwentaryzacja'!$A$6,210,0)="",OFFSET('Inwentaryzacja'!$D$6,210,0)=""),"",OFFSET('Inwentaryzacja'!$D$6,210,0))</f>
      </c>
      <c r="F227" s="8">
        <f>IF(AND(ISNUMBER($D227),ISNUMBER($E227)),ROUND($D227*$E227,2),"")</f>
      </c>
    </row>
    <row r="228">
      <c r="A228" s="7">
        <f>IF(OR(OFFSET('Inwentaryzacja'!$A$6,211,0)&lt;&gt;"",LEN($D228)&gt;0,LEN($E228)&gt;0),COUNT($A$18:$A227)+1,"")</f>
      </c>
      <c r="B228" s="7">
        <f>IF(OFFSET('Inwentaryzacja'!$A$6,211,0)&lt;&gt;"",OFFSET('Inwentaryzacja'!$A$6,211,0),IF(AND(ISNUMBER($A227),COUNT($A228:$A$517)=0),"Spis zakończono na pozycji "&amp;$A227,""))</f>
      </c>
      <c r="C228" s="7">
        <f>IF(OR(OFFSET('Inwentaryzacja'!$A$6,211,0)="",OFFSET('Inwentaryzacja'!$B$6,211,0)=""),"",OFFSET('Inwentaryzacja'!$B$6,211,0))</f>
      </c>
      <c r="D228" s="7">
        <f>IF(OR(OFFSET('Inwentaryzacja'!$A$6,211,0)="",OFFSET('Inwentaryzacja'!$D$6,211,0)=""),"",OFFSET('Inwentaryzacja'!$D$6,211,0))</f>
      </c>
      <c r="F228" s="8">
        <f>IF(AND(ISNUMBER($D228),ISNUMBER($E228)),ROUND($D228*$E228,2),"")</f>
      </c>
    </row>
    <row r="229">
      <c r="A229" s="7">
        <f>IF(OR(OFFSET('Inwentaryzacja'!$A$6,212,0)&lt;&gt;"",LEN($D229)&gt;0,LEN($E229)&gt;0),COUNT($A$18:$A228)+1,"")</f>
      </c>
      <c r="B229" s="7">
        <f>IF(OFFSET('Inwentaryzacja'!$A$6,212,0)&lt;&gt;"",OFFSET('Inwentaryzacja'!$A$6,212,0),IF(AND(ISNUMBER($A228),COUNT($A229:$A$517)=0),"Spis zakończono na pozycji "&amp;$A228,""))</f>
      </c>
      <c r="C229" s="7">
        <f>IF(OR(OFFSET('Inwentaryzacja'!$A$6,212,0)="",OFFSET('Inwentaryzacja'!$B$6,212,0)=""),"",OFFSET('Inwentaryzacja'!$B$6,212,0))</f>
      </c>
      <c r="D229" s="7">
        <f>IF(OR(OFFSET('Inwentaryzacja'!$A$6,212,0)="",OFFSET('Inwentaryzacja'!$D$6,212,0)=""),"",OFFSET('Inwentaryzacja'!$D$6,212,0))</f>
      </c>
      <c r="F229" s="8">
        <f>IF(AND(ISNUMBER($D229),ISNUMBER($E229)),ROUND($D229*$E229,2),"")</f>
      </c>
    </row>
    <row r="230">
      <c r="A230" s="7">
        <f>IF(OR(OFFSET('Inwentaryzacja'!$A$6,213,0)&lt;&gt;"",LEN($D230)&gt;0,LEN($E230)&gt;0),COUNT($A$18:$A229)+1,"")</f>
      </c>
      <c r="B230" s="7">
        <f>IF(OFFSET('Inwentaryzacja'!$A$6,213,0)&lt;&gt;"",OFFSET('Inwentaryzacja'!$A$6,213,0),IF(AND(ISNUMBER($A229),COUNT($A230:$A$517)=0),"Spis zakończono na pozycji "&amp;$A229,""))</f>
      </c>
      <c r="C230" s="7">
        <f>IF(OR(OFFSET('Inwentaryzacja'!$A$6,213,0)="",OFFSET('Inwentaryzacja'!$B$6,213,0)=""),"",OFFSET('Inwentaryzacja'!$B$6,213,0))</f>
      </c>
      <c r="D230" s="7">
        <f>IF(OR(OFFSET('Inwentaryzacja'!$A$6,213,0)="",OFFSET('Inwentaryzacja'!$D$6,213,0)=""),"",OFFSET('Inwentaryzacja'!$D$6,213,0))</f>
      </c>
      <c r="F230" s="8">
        <f>IF(AND(ISNUMBER($D230),ISNUMBER($E230)),ROUND($D230*$E230,2),"")</f>
      </c>
    </row>
    <row r="231">
      <c r="A231" s="7">
        <f>IF(OR(OFFSET('Inwentaryzacja'!$A$6,214,0)&lt;&gt;"",LEN($D231)&gt;0,LEN($E231)&gt;0),COUNT($A$18:$A230)+1,"")</f>
      </c>
      <c r="B231" s="7">
        <f>IF(OFFSET('Inwentaryzacja'!$A$6,214,0)&lt;&gt;"",OFFSET('Inwentaryzacja'!$A$6,214,0),IF(AND(ISNUMBER($A230),COUNT($A231:$A$517)=0),"Spis zakończono na pozycji "&amp;$A230,""))</f>
      </c>
      <c r="C231" s="7">
        <f>IF(OR(OFFSET('Inwentaryzacja'!$A$6,214,0)="",OFFSET('Inwentaryzacja'!$B$6,214,0)=""),"",OFFSET('Inwentaryzacja'!$B$6,214,0))</f>
      </c>
      <c r="D231" s="7">
        <f>IF(OR(OFFSET('Inwentaryzacja'!$A$6,214,0)="",OFFSET('Inwentaryzacja'!$D$6,214,0)=""),"",OFFSET('Inwentaryzacja'!$D$6,214,0))</f>
      </c>
      <c r="F231" s="8">
        <f>IF(AND(ISNUMBER($D231),ISNUMBER($E231)),ROUND($D231*$E231,2),"")</f>
      </c>
    </row>
    <row r="232">
      <c r="A232" s="7">
        <f>IF(OR(OFFSET('Inwentaryzacja'!$A$6,215,0)&lt;&gt;"",LEN($D232)&gt;0,LEN($E232)&gt;0),COUNT($A$18:$A231)+1,"")</f>
      </c>
      <c r="B232" s="7">
        <f>IF(OFFSET('Inwentaryzacja'!$A$6,215,0)&lt;&gt;"",OFFSET('Inwentaryzacja'!$A$6,215,0),IF(AND(ISNUMBER($A231),COUNT($A232:$A$517)=0),"Spis zakończono na pozycji "&amp;$A231,""))</f>
      </c>
      <c r="C232" s="7">
        <f>IF(OR(OFFSET('Inwentaryzacja'!$A$6,215,0)="",OFFSET('Inwentaryzacja'!$B$6,215,0)=""),"",OFFSET('Inwentaryzacja'!$B$6,215,0))</f>
      </c>
      <c r="D232" s="7">
        <f>IF(OR(OFFSET('Inwentaryzacja'!$A$6,215,0)="",OFFSET('Inwentaryzacja'!$D$6,215,0)=""),"",OFFSET('Inwentaryzacja'!$D$6,215,0))</f>
      </c>
      <c r="F232" s="8">
        <f>IF(AND(ISNUMBER($D232),ISNUMBER($E232)),ROUND($D232*$E232,2),"")</f>
      </c>
    </row>
    <row r="233">
      <c r="A233" s="7">
        <f>IF(OR(OFFSET('Inwentaryzacja'!$A$6,216,0)&lt;&gt;"",LEN($D233)&gt;0,LEN($E233)&gt;0),COUNT($A$18:$A232)+1,"")</f>
      </c>
      <c r="B233" s="7">
        <f>IF(OFFSET('Inwentaryzacja'!$A$6,216,0)&lt;&gt;"",OFFSET('Inwentaryzacja'!$A$6,216,0),IF(AND(ISNUMBER($A232),COUNT($A233:$A$517)=0),"Spis zakończono na pozycji "&amp;$A232,""))</f>
      </c>
      <c r="C233" s="7">
        <f>IF(OR(OFFSET('Inwentaryzacja'!$A$6,216,0)="",OFFSET('Inwentaryzacja'!$B$6,216,0)=""),"",OFFSET('Inwentaryzacja'!$B$6,216,0))</f>
      </c>
      <c r="D233" s="7">
        <f>IF(OR(OFFSET('Inwentaryzacja'!$A$6,216,0)="",OFFSET('Inwentaryzacja'!$D$6,216,0)=""),"",OFFSET('Inwentaryzacja'!$D$6,216,0))</f>
      </c>
      <c r="F233" s="8">
        <f>IF(AND(ISNUMBER($D233),ISNUMBER($E233)),ROUND($D233*$E233,2),"")</f>
      </c>
    </row>
    <row r="234">
      <c r="A234" s="7">
        <f>IF(OR(OFFSET('Inwentaryzacja'!$A$6,217,0)&lt;&gt;"",LEN($D234)&gt;0,LEN($E234)&gt;0),COUNT($A$18:$A233)+1,"")</f>
      </c>
      <c r="B234" s="7">
        <f>IF(OFFSET('Inwentaryzacja'!$A$6,217,0)&lt;&gt;"",OFFSET('Inwentaryzacja'!$A$6,217,0),IF(AND(ISNUMBER($A233),COUNT($A234:$A$517)=0),"Spis zakończono na pozycji "&amp;$A233,""))</f>
      </c>
      <c r="C234" s="7">
        <f>IF(OR(OFFSET('Inwentaryzacja'!$A$6,217,0)="",OFFSET('Inwentaryzacja'!$B$6,217,0)=""),"",OFFSET('Inwentaryzacja'!$B$6,217,0))</f>
      </c>
      <c r="D234" s="7">
        <f>IF(OR(OFFSET('Inwentaryzacja'!$A$6,217,0)="",OFFSET('Inwentaryzacja'!$D$6,217,0)=""),"",OFFSET('Inwentaryzacja'!$D$6,217,0))</f>
      </c>
      <c r="F234" s="8">
        <f>IF(AND(ISNUMBER($D234),ISNUMBER($E234)),ROUND($D234*$E234,2),"")</f>
      </c>
    </row>
    <row r="235">
      <c r="A235" s="7">
        <f>IF(OR(OFFSET('Inwentaryzacja'!$A$6,218,0)&lt;&gt;"",LEN($D235)&gt;0,LEN($E235)&gt;0),COUNT($A$18:$A234)+1,"")</f>
      </c>
      <c r="B235" s="7">
        <f>IF(OFFSET('Inwentaryzacja'!$A$6,218,0)&lt;&gt;"",OFFSET('Inwentaryzacja'!$A$6,218,0),IF(AND(ISNUMBER($A234),COUNT($A235:$A$517)=0),"Spis zakończono na pozycji "&amp;$A234,""))</f>
      </c>
      <c r="C235" s="7">
        <f>IF(OR(OFFSET('Inwentaryzacja'!$A$6,218,0)="",OFFSET('Inwentaryzacja'!$B$6,218,0)=""),"",OFFSET('Inwentaryzacja'!$B$6,218,0))</f>
      </c>
      <c r="D235" s="7">
        <f>IF(OR(OFFSET('Inwentaryzacja'!$A$6,218,0)="",OFFSET('Inwentaryzacja'!$D$6,218,0)=""),"",OFFSET('Inwentaryzacja'!$D$6,218,0))</f>
      </c>
      <c r="F235" s="8">
        <f>IF(AND(ISNUMBER($D235),ISNUMBER($E235)),ROUND($D235*$E235,2),"")</f>
      </c>
    </row>
    <row r="236">
      <c r="A236" s="7">
        <f>IF(OR(OFFSET('Inwentaryzacja'!$A$6,219,0)&lt;&gt;"",LEN($D236)&gt;0,LEN($E236)&gt;0),COUNT($A$18:$A235)+1,"")</f>
      </c>
      <c r="B236" s="7">
        <f>IF(OFFSET('Inwentaryzacja'!$A$6,219,0)&lt;&gt;"",OFFSET('Inwentaryzacja'!$A$6,219,0),IF(AND(ISNUMBER($A235),COUNT($A236:$A$517)=0),"Spis zakończono na pozycji "&amp;$A235,""))</f>
      </c>
      <c r="C236" s="7">
        <f>IF(OR(OFFSET('Inwentaryzacja'!$A$6,219,0)="",OFFSET('Inwentaryzacja'!$B$6,219,0)=""),"",OFFSET('Inwentaryzacja'!$B$6,219,0))</f>
      </c>
      <c r="D236" s="7">
        <f>IF(OR(OFFSET('Inwentaryzacja'!$A$6,219,0)="",OFFSET('Inwentaryzacja'!$D$6,219,0)=""),"",OFFSET('Inwentaryzacja'!$D$6,219,0))</f>
      </c>
      <c r="F236" s="8">
        <f>IF(AND(ISNUMBER($D236),ISNUMBER($E236)),ROUND($D236*$E236,2),"")</f>
      </c>
    </row>
    <row r="237">
      <c r="A237" s="7">
        <f>IF(OR(OFFSET('Inwentaryzacja'!$A$6,220,0)&lt;&gt;"",LEN($D237)&gt;0,LEN($E237)&gt;0),COUNT($A$18:$A236)+1,"")</f>
      </c>
      <c r="B237" s="7">
        <f>IF(OFFSET('Inwentaryzacja'!$A$6,220,0)&lt;&gt;"",OFFSET('Inwentaryzacja'!$A$6,220,0),IF(AND(ISNUMBER($A236),COUNT($A237:$A$517)=0),"Spis zakończono na pozycji "&amp;$A236,""))</f>
      </c>
      <c r="C237" s="7">
        <f>IF(OR(OFFSET('Inwentaryzacja'!$A$6,220,0)="",OFFSET('Inwentaryzacja'!$B$6,220,0)=""),"",OFFSET('Inwentaryzacja'!$B$6,220,0))</f>
      </c>
      <c r="D237" s="7">
        <f>IF(OR(OFFSET('Inwentaryzacja'!$A$6,220,0)="",OFFSET('Inwentaryzacja'!$D$6,220,0)=""),"",OFFSET('Inwentaryzacja'!$D$6,220,0))</f>
      </c>
      <c r="F237" s="8">
        <f>IF(AND(ISNUMBER($D237),ISNUMBER($E237)),ROUND($D237*$E237,2),"")</f>
      </c>
    </row>
    <row r="238">
      <c r="A238" s="7">
        <f>IF(OR(OFFSET('Inwentaryzacja'!$A$6,221,0)&lt;&gt;"",LEN($D238)&gt;0,LEN($E238)&gt;0),COUNT($A$18:$A237)+1,"")</f>
      </c>
      <c r="B238" s="7">
        <f>IF(OFFSET('Inwentaryzacja'!$A$6,221,0)&lt;&gt;"",OFFSET('Inwentaryzacja'!$A$6,221,0),IF(AND(ISNUMBER($A237),COUNT($A238:$A$517)=0),"Spis zakończono na pozycji "&amp;$A237,""))</f>
      </c>
      <c r="C238" s="7">
        <f>IF(OR(OFFSET('Inwentaryzacja'!$A$6,221,0)="",OFFSET('Inwentaryzacja'!$B$6,221,0)=""),"",OFFSET('Inwentaryzacja'!$B$6,221,0))</f>
      </c>
      <c r="D238" s="7">
        <f>IF(OR(OFFSET('Inwentaryzacja'!$A$6,221,0)="",OFFSET('Inwentaryzacja'!$D$6,221,0)=""),"",OFFSET('Inwentaryzacja'!$D$6,221,0))</f>
      </c>
      <c r="F238" s="8">
        <f>IF(AND(ISNUMBER($D238),ISNUMBER($E238)),ROUND($D238*$E238,2),"")</f>
      </c>
    </row>
    <row r="239">
      <c r="A239" s="7">
        <f>IF(OR(OFFSET('Inwentaryzacja'!$A$6,222,0)&lt;&gt;"",LEN($D239)&gt;0,LEN($E239)&gt;0),COUNT($A$18:$A238)+1,"")</f>
      </c>
      <c r="B239" s="7">
        <f>IF(OFFSET('Inwentaryzacja'!$A$6,222,0)&lt;&gt;"",OFFSET('Inwentaryzacja'!$A$6,222,0),IF(AND(ISNUMBER($A238),COUNT($A239:$A$517)=0),"Spis zakończono na pozycji "&amp;$A238,""))</f>
      </c>
      <c r="C239" s="7">
        <f>IF(OR(OFFSET('Inwentaryzacja'!$A$6,222,0)="",OFFSET('Inwentaryzacja'!$B$6,222,0)=""),"",OFFSET('Inwentaryzacja'!$B$6,222,0))</f>
      </c>
      <c r="D239" s="7">
        <f>IF(OR(OFFSET('Inwentaryzacja'!$A$6,222,0)="",OFFSET('Inwentaryzacja'!$D$6,222,0)=""),"",OFFSET('Inwentaryzacja'!$D$6,222,0))</f>
      </c>
      <c r="F239" s="8">
        <f>IF(AND(ISNUMBER($D239),ISNUMBER($E239)),ROUND($D239*$E239,2),"")</f>
      </c>
    </row>
    <row r="240">
      <c r="A240" s="7">
        <f>IF(OR(OFFSET('Inwentaryzacja'!$A$6,223,0)&lt;&gt;"",LEN($D240)&gt;0,LEN($E240)&gt;0),COUNT($A$18:$A239)+1,"")</f>
      </c>
      <c r="B240" s="7">
        <f>IF(OFFSET('Inwentaryzacja'!$A$6,223,0)&lt;&gt;"",OFFSET('Inwentaryzacja'!$A$6,223,0),IF(AND(ISNUMBER($A239),COUNT($A240:$A$517)=0),"Spis zakończono na pozycji "&amp;$A239,""))</f>
      </c>
      <c r="C240" s="7">
        <f>IF(OR(OFFSET('Inwentaryzacja'!$A$6,223,0)="",OFFSET('Inwentaryzacja'!$B$6,223,0)=""),"",OFFSET('Inwentaryzacja'!$B$6,223,0))</f>
      </c>
      <c r="D240" s="7">
        <f>IF(OR(OFFSET('Inwentaryzacja'!$A$6,223,0)="",OFFSET('Inwentaryzacja'!$D$6,223,0)=""),"",OFFSET('Inwentaryzacja'!$D$6,223,0))</f>
      </c>
      <c r="F240" s="8">
        <f>IF(AND(ISNUMBER($D240),ISNUMBER($E240)),ROUND($D240*$E240,2),"")</f>
      </c>
    </row>
    <row r="241">
      <c r="A241" s="7">
        <f>IF(OR(OFFSET('Inwentaryzacja'!$A$6,224,0)&lt;&gt;"",LEN($D241)&gt;0,LEN($E241)&gt;0),COUNT($A$18:$A240)+1,"")</f>
      </c>
      <c r="B241" s="7">
        <f>IF(OFFSET('Inwentaryzacja'!$A$6,224,0)&lt;&gt;"",OFFSET('Inwentaryzacja'!$A$6,224,0),IF(AND(ISNUMBER($A240),COUNT($A241:$A$517)=0),"Spis zakończono na pozycji "&amp;$A240,""))</f>
      </c>
      <c r="C241" s="7">
        <f>IF(OR(OFFSET('Inwentaryzacja'!$A$6,224,0)="",OFFSET('Inwentaryzacja'!$B$6,224,0)=""),"",OFFSET('Inwentaryzacja'!$B$6,224,0))</f>
      </c>
      <c r="D241" s="7">
        <f>IF(OR(OFFSET('Inwentaryzacja'!$A$6,224,0)="",OFFSET('Inwentaryzacja'!$D$6,224,0)=""),"",OFFSET('Inwentaryzacja'!$D$6,224,0))</f>
      </c>
      <c r="F241" s="8">
        <f>IF(AND(ISNUMBER($D241),ISNUMBER($E241)),ROUND($D241*$E241,2),"")</f>
      </c>
    </row>
    <row r="242">
      <c r="A242" s="7">
        <f>IF(OR(OFFSET('Inwentaryzacja'!$A$6,225,0)&lt;&gt;"",LEN($D242)&gt;0,LEN($E242)&gt;0),COUNT($A$18:$A241)+1,"")</f>
      </c>
      <c r="B242" s="7">
        <f>IF(OFFSET('Inwentaryzacja'!$A$6,225,0)&lt;&gt;"",OFFSET('Inwentaryzacja'!$A$6,225,0),IF(AND(ISNUMBER($A241),COUNT($A242:$A$517)=0),"Spis zakończono na pozycji "&amp;$A241,""))</f>
      </c>
      <c r="C242" s="7">
        <f>IF(OR(OFFSET('Inwentaryzacja'!$A$6,225,0)="",OFFSET('Inwentaryzacja'!$B$6,225,0)=""),"",OFFSET('Inwentaryzacja'!$B$6,225,0))</f>
      </c>
      <c r="D242" s="7">
        <f>IF(OR(OFFSET('Inwentaryzacja'!$A$6,225,0)="",OFFSET('Inwentaryzacja'!$D$6,225,0)=""),"",OFFSET('Inwentaryzacja'!$D$6,225,0))</f>
      </c>
      <c r="F242" s="8">
        <f>IF(AND(ISNUMBER($D242),ISNUMBER($E242)),ROUND($D242*$E242,2),"")</f>
      </c>
    </row>
    <row r="243">
      <c r="A243" s="7">
        <f>IF(OR(OFFSET('Inwentaryzacja'!$A$6,226,0)&lt;&gt;"",LEN($D243)&gt;0,LEN($E243)&gt;0),COUNT($A$18:$A242)+1,"")</f>
      </c>
      <c r="B243" s="7">
        <f>IF(OFFSET('Inwentaryzacja'!$A$6,226,0)&lt;&gt;"",OFFSET('Inwentaryzacja'!$A$6,226,0),IF(AND(ISNUMBER($A242),COUNT($A243:$A$517)=0),"Spis zakończono na pozycji "&amp;$A242,""))</f>
      </c>
      <c r="C243" s="7">
        <f>IF(OR(OFFSET('Inwentaryzacja'!$A$6,226,0)="",OFFSET('Inwentaryzacja'!$B$6,226,0)=""),"",OFFSET('Inwentaryzacja'!$B$6,226,0))</f>
      </c>
      <c r="D243" s="7">
        <f>IF(OR(OFFSET('Inwentaryzacja'!$A$6,226,0)="",OFFSET('Inwentaryzacja'!$D$6,226,0)=""),"",OFFSET('Inwentaryzacja'!$D$6,226,0))</f>
      </c>
      <c r="F243" s="8">
        <f>IF(AND(ISNUMBER($D243),ISNUMBER($E243)),ROUND($D243*$E243,2),"")</f>
      </c>
    </row>
    <row r="244">
      <c r="A244" s="7">
        <f>IF(OR(OFFSET('Inwentaryzacja'!$A$6,227,0)&lt;&gt;"",LEN($D244)&gt;0,LEN($E244)&gt;0),COUNT($A$18:$A243)+1,"")</f>
      </c>
      <c r="B244" s="7">
        <f>IF(OFFSET('Inwentaryzacja'!$A$6,227,0)&lt;&gt;"",OFFSET('Inwentaryzacja'!$A$6,227,0),IF(AND(ISNUMBER($A243),COUNT($A244:$A$517)=0),"Spis zakończono na pozycji "&amp;$A243,""))</f>
      </c>
      <c r="C244" s="7">
        <f>IF(OR(OFFSET('Inwentaryzacja'!$A$6,227,0)="",OFFSET('Inwentaryzacja'!$B$6,227,0)=""),"",OFFSET('Inwentaryzacja'!$B$6,227,0))</f>
      </c>
      <c r="D244" s="7">
        <f>IF(OR(OFFSET('Inwentaryzacja'!$A$6,227,0)="",OFFSET('Inwentaryzacja'!$D$6,227,0)=""),"",OFFSET('Inwentaryzacja'!$D$6,227,0))</f>
      </c>
      <c r="F244" s="8">
        <f>IF(AND(ISNUMBER($D244),ISNUMBER($E244)),ROUND($D244*$E244,2),"")</f>
      </c>
    </row>
    <row r="245">
      <c r="A245" s="7">
        <f>IF(OR(OFFSET('Inwentaryzacja'!$A$6,228,0)&lt;&gt;"",LEN($D245)&gt;0,LEN($E245)&gt;0),COUNT($A$18:$A244)+1,"")</f>
      </c>
      <c r="B245" s="7">
        <f>IF(OFFSET('Inwentaryzacja'!$A$6,228,0)&lt;&gt;"",OFFSET('Inwentaryzacja'!$A$6,228,0),IF(AND(ISNUMBER($A244),COUNT($A245:$A$517)=0),"Spis zakończono na pozycji "&amp;$A244,""))</f>
      </c>
      <c r="C245" s="7">
        <f>IF(OR(OFFSET('Inwentaryzacja'!$A$6,228,0)="",OFFSET('Inwentaryzacja'!$B$6,228,0)=""),"",OFFSET('Inwentaryzacja'!$B$6,228,0))</f>
      </c>
      <c r="D245" s="7">
        <f>IF(OR(OFFSET('Inwentaryzacja'!$A$6,228,0)="",OFFSET('Inwentaryzacja'!$D$6,228,0)=""),"",OFFSET('Inwentaryzacja'!$D$6,228,0))</f>
      </c>
      <c r="F245" s="8">
        <f>IF(AND(ISNUMBER($D245),ISNUMBER($E245)),ROUND($D245*$E245,2),"")</f>
      </c>
    </row>
    <row r="246">
      <c r="A246" s="7">
        <f>IF(OR(OFFSET('Inwentaryzacja'!$A$6,229,0)&lt;&gt;"",LEN($D246)&gt;0,LEN($E246)&gt;0),COUNT($A$18:$A245)+1,"")</f>
      </c>
      <c r="B246" s="7">
        <f>IF(OFFSET('Inwentaryzacja'!$A$6,229,0)&lt;&gt;"",OFFSET('Inwentaryzacja'!$A$6,229,0),IF(AND(ISNUMBER($A245),COUNT($A246:$A$517)=0),"Spis zakończono na pozycji "&amp;$A245,""))</f>
      </c>
      <c r="C246" s="7">
        <f>IF(OR(OFFSET('Inwentaryzacja'!$A$6,229,0)="",OFFSET('Inwentaryzacja'!$B$6,229,0)=""),"",OFFSET('Inwentaryzacja'!$B$6,229,0))</f>
      </c>
      <c r="D246" s="7">
        <f>IF(OR(OFFSET('Inwentaryzacja'!$A$6,229,0)="",OFFSET('Inwentaryzacja'!$D$6,229,0)=""),"",OFFSET('Inwentaryzacja'!$D$6,229,0))</f>
      </c>
      <c r="F246" s="8">
        <f>IF(AND(ISNUMBER($D246),ISNUMBER($E246)),ROUND($D246*$E246,2),"")</f>
      </c>
    </row>
    <row r="247">
      <c r="A247" s="7">
        <f>IF(OR(OFFSET('Inwentaryzacja'!$A$6,230,0)&lt;&gt;"",LEN($D247)&gt;0,LEN($E247)&gt;0),COUNT($A$18:$A246)+1,"")</f>
      </c>
      <c r="B247" s="7">
        <f>IF(OFFSET('Inwentaryzacja'!$A$6,230,0)&lt;&gt;"",OFFSET('Inwentaryzacja'!$A$6,230,0),IF(AND(ISNUMBER($A246),COUNT($A247:$A$517)=0),"Spis zakończono na pozycji "&amp;$A246,""))</f>
      </c>
      <c r="C247" s="7">
        <f>IF(OR(OFFSET('Inwentaryzacja'!$A$6,230,0)="",OFFSET('Inwentaryzacja'!$B$6,230,0)=""),"",OFFSET('Inwentaryzacja'!$B$6,230,0))</f>
      </c>
      <c r="D247" s="7">
        <f>IF(OR(OFFSET('Inwentaryzacja'!$A$6,230,0)="",OFFSET('Inwentaryzacja'!$D$6,230,0)=""),"",OFFSET('Inwentaryzacja'!$D$6,230,0))</f>
      </c>
      <c r="F247" s="8">
        <f>IF(AND(ISNUMBER($D247),ISNUMBER($E247)),ROUND($D247*$E247,2),"")</f>
      </c>
    </row>
    <row r="248">
      <c r="A248" s="7">
        <f>IF(OR(OFFSET('Inwentaryzacja'!$A$6,231,0)&lt;&gt;"",LEN($D248)&gt;0,LEN($E248)&gt;0),COUNT($A$18:$A247)+1,"")</f>
      </c>
      <c r="B248" s="7">
        <f>IF(OFFSET('Inwentaryzacja'!$A$6,231,0)&lt;&gt;"",OFFSET('Inwentaryzacja'!$A$6,231,0),IF(AND(ISNUMBER($A247),COUNT($A248:$A$517)=0),"Spis zakończono na pozycji "&amp;$A247,""))</f>
      </c>
      <c r="C248" s="7">
        <f>IF(OR(OFFSET('Inwentaryzacja'!$A$6,231,0)="",OFFSET('Inwentaryzacja'!$B$6,231,0)=""),"",OFFSET('Inwentaryzacja'!$B$6,231,0))</f>
      </c>
      <c r="D248" s="7">
        <f>IF(OR(OFFSET('Inwentaryzacja'!$A$6,231,0)="",OFFSET('Inwentaryzacja'!$D$6,231,0)=""),"",OFFSET('Inwentaryzacja'!$D$6,231,0))</f>
      </c>
      <c r="F248" s="8">
        <f>IF(AND(ISNUMBER($D248),ISNUMBER($E248)),ROUND($D248*$E248,2),"")</f>
      </c>
    </row>
    <row r="249">
      <c r="A249" s="7">
        <f>IF(OR(OFFSET('Inwentaryzacja'!$A$6,232,0)&lt;&gt;"",LEN($D249)&gt;0,LEN($E249)&gt;0),COUNT($A$18:$A248)+1,"")</f>
      </c>
      <c r="B249" s="7">
        <f>IF(OFFSET('Inwentaryzacja'!$A$6,232,0)&lt;&gt;"",OFFSET('Inwentaryzacja'!$A$6,232,0),IF(AND(ISNUMBER($A248),COUNT($A249:$A$517)=0),"Spis zakończono na pozycji "&amp;$A248,""))</f>
      </c>
      <c r="C249" s="7">
        <f>IF(OR(OFFSET('Inwentaryzacja'!$A$6,232,0)="",OFFSET('Inwentaryzacja'!$B$6,232,0)=""),"",OFFSET('Inwentaryzacja'!$B$6,232,0))</f>
      </c>
      <c r="D249" s="7">
        <f>IF(OR(OFFSET('Inwentaryzacja'!$A$6,232,0)="",OFFSET('Inwentaryzacja'!$D$6,232,0)=""),"",OFFSET('Inwentaryzacja'!$D$6,232,0))</f>
      </c>
      <c r="F249" s="8">
        <f>IF(AND(ISNUMBER($D249),ISNUMBER($E249)),ROUND($D249*$E249,2),"")</f>
      </c>
    </row>
    <row r="250">
      <c r="A250" s="7">
        <f>IF(OR(OFFSET('Inwentaryzacja'!$A$6,233,0)&lt;&gt;"",LEN($D250)&gt;0,LEN($E250)&gt;0),COUNT($A$18:$A249)+1,"")</f>
      </c>
      <c r="B250" s="7">
        <f>IF(OFFSET('Inwentaryzacja'!$A$6,233,0)&lt;&gt;"",OFFSET('Inwentaryzacja'!$A$6,233,0),IF(AND(ISNUMBER($A249),COUNT($A250:$A$517)=0),"Spis zakończono na pozycji "&amp;$A249,""))</f>
      </c>
      <c r="C250" s="7">
        <f>IF(OR(OFFSET('Inwentaryzacja'!$A$6,233,0)="",OFFSET('Inwentaryzacja'!$B$6,233,0)=""),"",OFFSET('Inwentaryzacja'!$B$6,233,0))</f>
      </c>
      <c r="D250" s="7">
        <f>IF(OR(OFFSET('Inwentaryzacja'!$A$6,233,0)="",OFFSET('Inwentaryzacja'!$D$6,233,0)=""),"",OFFSET('Inwentaryzacja'!$D$6,233,0))</f>
      </c>
      <c r="F250" s="8">
        <f>IF(AND(ISNUMBER($D250),ISNUMBER($E250)),ROUND($D250*$E250,2),"")</f>
      </c>
    </row>
    <row r="251">
      <c r="A251" s="7">
        <f>IF(OR(OFFSET('Inwentaryzacja'!$A$6,234,0)&lt;&gt;"",LEN($D251)&gt;0,LEN($E251)&gt;0),COUNT($A$18:$A250)+1,"")</f>
      </c>
      <c r="B251" s="7">
        <f>IF(OFFSET('Inwentaryzacja'!$A$6,234,0)&lt;&gt;"",OFFSET('Inwentaryzacja'!$A$6,234,0),IF(AND(ISNUMBER($A250),COUNT($A251:$A$517)=0),"Spis zakończono na pozycji "&amp;$A250,""))</f>
      </c>
      <c r="C251" s="7">
        <f>IF(OR(OFFSET('Inwentaryzacja'!$A$6,234,0)="",OFFSET('Inwentaryzacja'!$B$6,234,0)=""),"",OFFSET('Inwentaryzacja'!$B$6,234,0))</f>
      </c>
      <c r="D251" s="7">
        <f>IF(OR(OFFSET('Inwentaryzacja'!$A$6,234,0)="",OFFSET('Inwentaryzacja'!$D$6,234,0)=""),"",OFFSET('Inwentaryzacja'!$D$6,234,0))</f>
      </c>
      <c r="F251" s="8">
        <f>IF(AND(ISNUMBER($D251),ISNUMBER($E251)),ROUND($D251*$E251,2),"")</f>
      </c>
    </row>
    <row r="252">
      <c r="A252" s="7">
        <f>IF(OR(OFFSET('Inwentaryzacja'!$A$6,235,0)&lt;&gt;"",LEN($D252)&gt;0,LEN($E252)&gt;0),COUNT($A$18:$A251)+1,"")</f>
      </c>
      <c r="B252" s="7">
        <f>IF(OFFSET('Inwentaryzacja'!$A$6,235,0)&lt;&gt;"",OFFSET('Inwentaryzacja'!$A$6,235,0),IF(AND(ISNUMBER($A251),COUNT($A252:$A$517)=0),"Spis zakończono na pozycji "&amp;$A251,""))</f>
      </c>
      <c r="C252" s="7">
        <f>IF(OR(OFFSET('Inwentaryzacja'!$A$6,235,0)="",OFFSET('Inwentaryzacja'!$B$6,235,0)=""),"",OFFSET('Inwentaryzacja'!$B$6,235,0))</f>
      </c>
      <c r="D252" s="7">
        <f>IF(OR(OFFSET('Inwentaryzacja'!$A$6,235,0)="",OFFSET('Inwentaryzacja'!$D$6,235,0)=""),"",OFFSET('Inwentaryzacja'!$D$6,235,0))</f>
      </c>
      <c r="F252" s="8">
        <f>IF(AND(ISNUMBER($D252),ISNUMBER($E252)),ROUND($D252*$E252,2),"")</f>
      </c>
    </row>
    <row r="253">
      <c r="A253" s="7">
        <f>IF(OR(OFFSET('Inwentaryzacja'!$A$6,236,0)&lt;&gt;"",LEN($D253)&gt;0,LEN($E253)&gt;0),COUNT($A$18:$A252)+1,"")</f>
      </c>
      <c r="B253" s="7">
        <f>IF(OFFSET('Inwentaryzacja'!$A$6,236,0)&lt;&gt;"",OFFSET('Inwentaryzacja'!$A$6,236,0),IF(AND(ISNUMBER($A252),COUNT($A253:$A$517)=0),"Spis zakończono na pozycji "&amp;$A252,""))</f>
      </c>
      <c r="C253" s="7">
        <f>IF(OR(OFFSET('Inwentaryzacja'!$A$6,236,0)="",OFFSET('Inwentaryzacja'!$B$6,236,0)=""),"",OFFSET('Inwentaryzacja'!$B$6,236,0))</f>
      </c>
      <c r="D253" s="7">
        <f>IF(OR(OFFSET('Inwentaryzacja'!$A$6,236,0)="",OFFSET('Inwentaryzacja'!$D$6,236,0)=""),"",OFFSET('Inwentaryzacja'!$D$6,236,0))</f>
      </c>
      <c r="F253" s="8">
        <f>IF(AND(ISNUMBER($D253),ISNUMBER($E253)),ROUND($D253*$E253,2),"")</f>
      </c>
    </row>
    <row r="254">
      <c r="A254" s="7">
        <f>IF(OR(OFFSET('Inwentaryzacja'!$A$6,237,0)&lt;&gt;"",LEN($D254)&gt;0,LEN($E254)&gt;0),COUNT($A$18:$A253)+1,"")</f>
      </c>
      <c r="B254" s="7">
        <f>IF(OFFSET('Inwentaryzacja'!$A$6,237,0)&lt;&gt;"",OFFSET('Inwentaryzacja'!$A$6,237,0),IF(AND(ISNUMBER($A253),COUNT($A254:$A$517)=0),"Spis zakończono na pozycji "&amp;$A253,""))</f>
      </c>
      <c r="C254" s="7">
        <f>IF(OR(OFFSET('Inwentaryzacja'!$A$6,237,0)="",OFFSET('Inwentaryzacja'!$B$6,237,0)=""),"",OFFSET('Inwentaryzacja'!$B$6,237,0))</f>
      </c>
      <c r="D254" s="7">
        <f>IF(OR(OFFSET('Inwentaryzacja'!$A$6,237,0)="",OFFSET('Inwentaryzacja'!$D$6,237,0)=""),"",OFFSET('Inwentaryzacja'!$D$6,237,0))</f>
      </c>
      <c r="F254" s="8">
        <f>IF(AND(ISNUMBER($D254),ISNUMBER($E254)),ROUND($D254*$E254,2),"")</f>
      </c>
    </row>
    <row r="255">
      <c r="A255" s="7">
        <f>IF(OR(OFFSET('Inwentaryzacja'!$A$6,238,0)&lt;&gt;"",LEN($D255)&gt;0,LEN($E255)&gt;0),COUNT($A$18:$A254)+1,"")</f>
      </c>
      <c r="B255" s="7">
        <f>IF(OFFSET('Inwentaryzacja'!$A$6,238,0)&lt;&gt;"",OFFSET('Inwentaryzacja'!$A$6,238,0),IF(AND(ISNUMBER($A254),COUNT($A255:$A$517)=0),"Spis zakończono na pozycji "&amp;$A254,""))</f>
      </c>
      <c r="C255" s="7">
        <f>IF(OR(OFFSET('Inwentaryzacja'!$A$6,238,0)="",OFFSET('Inwentaryzacja'!$B$6,238,0)=""),"",OFFSET('Inwentaryzacja'!$B$6,238,0))</f>
      </c>
      <c r="D255" s="7">
        <f>IF(OR(OFFSET('Inwentaryzacja'!$A$6,238,0)="",OFFSET('Inwentaryzacja'!$D$6,238,0)=""),"",OFFSET('Inwentaryzacja'!$D$6,238,0))</f>
      </c>
      <c r="F255" s="8">
        <f>IF(AND(ISNUMBER($D255),ISNUMBER($E255)),ROUND($D255*$E255,2),"")</f>
      </c>
    </row>
    <row r="256">
      <c r="A256" s="7">
        <f>IF(OR(OFFSET('Inwentaryzacja'!$A$6,239,0)&lt;&gt;"",LEN($D256)&gt;0,LEN($E256)&gt;0),COUNT($A$18:$A255)+1,"")</f>
      </c>
      <c r="B256" s="7">
        <f>IF(OFFSET('Inwentaryzacja'!$A$6,239,0)&lt;&gt;"",OFFSET('Inwentaryzacja'!$A$6,239,0),IF(AND(ISNUMBER($A255),COUNT($A256:$A$517)=0),"Spis zakończono na pozycji "&amp;$A255,""))</f>
      </c>
      <c r="C256" s="7">
        <f>IF(OR(OFFSET('Inwentaryzacja'!$A$6,239,0)="",OFFSET('Inwentaryzacja'!$B$6,239,0)=""),"",OFFSET('Inwentaryzacja'!$B$6,239,0))</f>
      </c>
      <c r="D256" s="7">
        <f>IF(OR(OFFSET('Inwentaryzacja'!$A$6,239,0)="",OFFSET('Inwentaryzacja'!$D$6,239,0)=""),"",OFFSET('Inwentaryzacja'!$D$6,239,0))</f>
      </c>
      <c r="F256" s="8">
        <f>IF(AND(ISNUMBER($D256),ISNUMBER($E256)),ROUND($D256*$E256,2),"")</f>
      </c>
    </row>
    <row r="257">
      <c r="A257" s="7">
        <f>IF(OR(OFFSET('Inwentaryzacja'!$A$6,240,0)&lt;&gt;"",LEN($D257)&gt;0,LEN($E257)&gt;0),COUNT($A$18:$A256)+1,"")</f>
      </c>
      <c r="B257" s="7">
        <f>IF(OFFSET('Inwentaryzacja'!$A$6,240,0)&lt;&gt;"",OFFSET('Inwentaryzacja'!$A$6,240,0),IF(AND(ISNUMBER($A256),COUNT($A257:$A$517)=0),"Spis zakończono na pozycji "&amp;$A256,""))</f>
      </c>
      <c r="C257" s="7">
        <f>IF(OR(OFFSET('Inwentaryzacja'!$A$6,240,0)="",OFFSET('Inwentaryzacja'!$B$6,240,0)=""),"",OFFSET('Inwentaryzacja'!$B$6,240,0))</f>
      </c>
      <c r="D257" s="7">
        <f>IF(OR(OFFSET('Inwentaryzacja'!$A$6,240,0)="",OFFSET('Inwentaryzacja'!$D$6,240,0)=""),"",OFFSET('Inwentaryzacja'!$D$6,240,0))</f>
      </c>
      <c r="F257" s="8">
        <f>IF(AND(ISNUMBER($D257),ISNUMBER($E257)),ROUND($D257*$E257,2),"")</f>
      </c>
    </row>
    <row r="258">
      <c r="A258" s="7">
        <f>IF(OR(OFFSET('Inwentaryzacja'!$A$6,241,0)&lt;&gt;"",LEN($D258)&gt;0,LEN($E258)&gt;0),COUNT($A$18:$A257)+1,"")</f>
      </c>
      <c r="B258" s="7">
        <f>IF(OFFSET('Inwentaryzacja'!$A$6,241,0)&lt;&gt;"",OFFSET('Inwentaryzacja'!$A$6,241,0),IF(AND(ISNUMBER($A257),COUNT($A258:$A$517)=0),"Spis zakończono na pozycji "&amp;$A257,""))</f>
      </c>
      <c r="C258" s="7">
        <f>IF(OR(OFFSET('Inwentaryzacja'!$A$6,241,0)="",OFFSET('Inwentaryzacja'!$B$6,241,0)=""),"",OFFSET('Inwentaryzacja'!$B$6,241,0))</f>
      </c>
      <c r="D258" s="7">
        <f>IF(OR(OFFSET('Inwentaryzacja'!$A$6,241,0)="",OFFSET('Inwentaryzacja'!$D$6,241,0)=""),"",OFFSET('Inwentaryzacja'!$D$6,241,0))</f>
      </c>
      <c r="F258" s="8">
        <f>IF(AND(ISNUMBER($D258),ISNUMBER($E258)),ROUND($D258*$E258,2),"")</f>
      </c>
    </row>
    <row r="259">
      <c r="A259" s="7">
        <f>IF(OR(OFFSET('Inwentaryzacja'!$A$6,242,0)&lt;&gt;"",LEN($D259)&gt;0,LEN($E259)&gt;0),COUNT($A$18:$A258)+1,"")</f>
      </c>
      <c r="B259" s="7">
        <f>IF(OFFSET('Inwentaryzacja'!$A$6,242,0)&lt;&gt;"",OFFSET('Inwentaryzacja'!$A$6,242,0),IF(AND(ISNUMBER($A258),COUNT($A259:$A$517)=0),"Spis zakończono na pozycji "&amp;$A258,""))</f>
      </c>
      <c r="C259" s="7">
        <f>IF(OR(OFFSET('Inwentaryzacja'!$A$6,242,0)="",OFFSET('Inwentaryzacja'!$B$6,242,0)=""),"",OFFSET('Inwentaryzacja'!$B$6,242,0))</f>
      </c>
      <c r="D259" s="7">
        <f>IF(OR(OFFSET('Inwentaryzacja'!$A$6,242,0)="",OFFSET('Inwentaryzacja'!$D$6,242,0)=""),"",OFFSET('Inwentaryzacja'!$D$6,242,0))</f>
      </c>
      <c r="F259" s="8">
        <f>IF(AND(ISNUMBER($D259),ISNUMBER($E259)),ROUND($D259*$E259,2),"")</f>
      </c>
    </row>
    <row r="260">
      <c r="A260" s="7">
        <f>IF(OR(OFFSET('Inwentaryzacja'!$A$6,243,0)&lt;&gt;"",LEN($D260)&gt;0,LEN($E260)&gt;0),COUNT($A$18:$A259)+1,"")</f>
      </c>
      <c r="B260" s="7">
        <f>IF(OFFSET('Inwentaryzacja'!$A$6,243,0)&lt;&gt;"",OFFSET('Inwentaryzacja'!$A$6,243,0),IF(AND(ISNUMBER($A259),COUNT($A260:$A$517)=0),"Spis zakończono na pozycji "&amp;$A259,""))</f>
      </c>
      <c r="C260" s="7">
        <f>IF(OR(OFFSET('Inwentaryzacja'!$A$6,243,0)="",OFFSET('Inwentaryzacja'!$B$6,243,0)=""),"",OFFSET('Inwentaryzacja'!$B$6,243,0))</f>
      </c>
      <c r="D260" s="7">
        <f>IF(OR(OFFSET('Inwentaryzacja'!$A$6,243,0)="",OFFSET('Inwentaryzacja'!$D$6,243,0)=""),"",OFFSET('Inwentaryzacja'!$D$6,243,0))</f>
      </c>
      <c r="F260" s="8">
        <f>IF(AND(ISNUMBER($D260),ISNUMBER($E260)),ROUND($D260*$E260,2),"")</f>
      </c>
    </row>
    <row r="261">
      <c r="A261" s="7">
        <f>IF(OR(OFFSET('Inwentaryzacja'!$A$6,244,0)&lt;&gt;"",LEN($D261)&gt;0,LEN($E261)&gt;0),COUNT($A$18:$A260)+1,"")</f>
      </c>
      <c r="B261" s="7">
        <f>IF(OFFSET('Inwentaryzacja'!$A$6,244,0)&lt;&gt;"",OFFSET('Inwentaryzacja'!$A$6,244,0),IF(AND(ISNUMBER($A260),COUNT($A261:$A$517)=0),"Spis zakończono na pozycji "&amp;$A260,""))</f>
      </c>
      <c r="C261" s="7">
        <f>IF(OR(OFFSET('Inwentaryzacja'!$A$6,244,0)="",OFFSET('Inwentaryzacja'!$B$6,244,0)=""),"",OFFSET('Inwentaryzacja'!$B$6,244,0))</f>
      </c>
      <c r="D261" s="7">
        <f>IF(OR(OFFSET('Inwentaryzacja'!$A$6,244,0)="",OFFSET('Inwentaryzacja'!$D$6,244,0)=""),"",OFFSET('Inwentaryzacja'!$D$6,244,0))</f>
      </c>
      <c r="F261" s="8">
        <f>IF(AND(ISNUMBER($D261),ISNUMBER($E261)),ROUND($D261*$E261,2),"")</f>
      </c>
    </row>
    <row r="262">
      <c r="A262" s="7">
        <f>IF(OR(OFFSET('Inwentaryzacja'!$A$6,245,0)&lt;&gt;"",LEN($D262)&gt;0,LEN($E262)&gt;0),COUNT($A$18:$A261)+1,"")</f>
      </c>
      <c r="B262" s="7">
        <f>IF(OFFSET('Inwentaryzacja'!$A$6,245,0)&lt;&gt;"",OFFSET('Inwentaryzacja'!$A$6,245,0),IF(AND(ISNUMBER($A261),COUNT($A262:$A$517)=0),"Spis zakończono na pozycji "&amp;$A261,""))</f>
      </c>
      <c r="C262" s="7">
        <f>IF(OR(OFFSET('Inwentaryzacja'!$A$6,245,0)="",OFFSET('Inwentaryzacja'!$B$6,245,0)=""),"",OFFSET('Inwentaryzacja'!$B$6,245,0))</f>
      </c>
      <c r="D262" s="7">
        <f>IF(OR(OFFSET('Inwentaryzacja'!$A$6,245,0)="",OFFSET('Inwentaryzacja'!$D$6,245,0)=""),"",OFFSET('Inwentaryzacja'!$D$6,245,0))</f>
      </c>
      <c r="F262" s="8">
        <f>IF(AND(ISNUMBER($D262),ISNUMBER($E262)),ROUND($D262*$E262,2),"")</f>
      </c>
    </row>
    <row r="263">
      <c r="A263" s="7">
        <f>IF(OR(OFFSET('Inwentaryzacja'!$A$6,246,0)&lt;&gt;"",LEN($D263)&gt;0,LEN($E263)&gt;0),COUNT($A$18:$A262)+1,"")</f>
      </c>
      <c r="B263" s="7">
        <f>IF(OFFSET('Inwentaryzacja'!$A$6,246,0)&lt;&gt;"",OFFSET('Inwentaryzacja'!$A$6,246,0),IF(AND(ISNUMBER($A262),COUNT($A263:$A$517)=0),"Spis zakończono na pozycji "&amp;$A262,""))</f>
      </c>
      <c r="C263" s="7">
        <f>IF(OR(OFFSET('Inwentaryzacja'!$A$6,246,0)="",OFFSET('Inwentaryzacja'!$B$6,246,0)=""),"",OFFSET('Inwentaryzacja'!$B$6,246,0))</f>
      </c>
      <c r="D263" s="7">
        <f>IF(OR(OFFSET('Inwentaryzacja'!$A$6,246,0)="",OFFSET('Inwentaryzacja'!$D$6,246,0)=""),"",OFFSET('Inwentaryzacja'!$D$6,246,0))</f>
      </c>
      <c r="F263" s="8">
        <f>IF(AND(ISNUMBER($D263),ISNUMBER($E263)),ROUND($D263*$E263,2),"")</f>
      </c>
    </row>
    <row r="264">
      <c r="A264" s="7">
        <f>IF(OR(OFFSET('Inwentaryzacja'!$A$6,247,0)&lt;&gt;"",LEN($D264)&gt;0,LEN($E264)&gt;0),COUNT($A$18:$A263)+1,"")</f>
      </c>
      <c r="B264" s="7">
        <f>IF(OFFSET('Inwentaryzacja'!$A$6,247,0)&lt;&gt;"",OFFSET('Inwentaryzacja'!$A$6,247,0),IF(AND(ISNUMBER($A263),COUNT($A264:$A$517)=0),"Spis zakończono na pozycji "&amp;$A263,""))</f>
      </c>
      <c r="C264" s="7">
        <f>IF(OR(OFFSET('Inwentaryzacja'!$A$6,247,0)="",OFFSET('Inwentaryzacja'!$B$6,247,0)=""),"",OFFSET('Inwentaryzacja'!$B$6,247,0))</f>
      </c>
      <c r="D264" s="7">
        <f>IF(OR(OFFSET('Inwentaryzacja'!$A$6,247,0)="",OFFSET('Inwentaryzacja'!$D$6,247,0)=""),"",OFFSET('Inwentaryzacja'!$D$6,247,0))</f>
      </c>
      <c r="F264" s="8">
        <f>IF(AND(ISNUMBER($D264),ISNUMBER($E264)),ROUND($D264*$E264,2),"")</f>
      </c>
    </row>
    <row r="265">
      <c r="A265" s="7">
        <f>IF(OR(OFFSET('Inwentaryzacja'!$A$6,248,0)&lt;&gt;"",LEN($D265)&gt;0,LEN($E265)&gt;0),COUNT($A$18:$A264)+1,"")</f>
      </c>
      <c r="B265" s="7">
        <f>IF(OFFSET('Inwentaryzacja'!$A$6,248,0)&lt;&gt;"",OFFSET('Inwentaryzacja'!$A$6,248,0),IF(AND(ISNUMBER($A264),COUNT($A265:$A$517)=0),"Spis zakończono na pozycji "&amp;$A264,""))</f>
      </c>
      <c r="C265" s="7">
        <f>IF(OR(OFFSET('Inwentaryzacja'!$A$6,248,0)="",OFFSET('Inwentaryzacja'!$B$6,248,0)=""),"",OFFSET('Inwentaryzacja'!$B$6,248,0))</f>
      </c>
      <c r="D265" s="7">
        <f>IF(OR(OFFSET('Inwentaryzacja'!$A$6,248,0)="",OFFSET('Inwentaryzacja'!$D$6,248,0)=""),"",OFFSET('Inwentaryzacja'!$D$6,248,0))</f>
      </c>
      <c r="F265" s="8">
        <f>IF(AND(ISNUMBER($D265),ISNUMBER($E265)),ROUND($D265*$E265,2),"")</f>
      </c>
    </row>
    <row r="266">
      <c r="A266" s="7">
        <f>IF(OR(OFFSET('Inwentaryzacja'!$A$6,249,0)&lt;&gt;"",LEN($D266)&gt;0,LEN($E266)&gt;0),COUNT($A$18:$A265)+1,"")</f>
      </c>
      <c r="B266" s="7">
        <f>IF(OFFSET('Inwentaryzacja'!$A$6,249,0)&lt;&gt;"",OFFSET('Inwentaryzacja'!$A$6,249,0),IF(AND(ISNUMBER($A265),COUNT($A266:$A$517)=0),"Spis zakończono na pozycji "&amp;$A265,""))</f>
      </c>
      <c r="C266" s="7">
        <f>IF(OR(OFFSET('Inwentaryzacja'!$A$6,249,0)="",OFFSET('Inwentaryzacja'!$B$6,249,0)=""),"",OFFSET('Inwentaryzacja'!$B$6,249,0))</f>
      </c>
      <c r="D266" s="7">
        <f>IF(OR(OFFSET('Inwentaryzacja'!$A$6,249,0)="",OFFSET('Inwentaryzacja'!$D$6,249,0)=""),"",OFFSET('Inwentaryzacja'!$D$6,249,0))</f>
      </c>
      <c r="F266" s="8">
        <f>IF(AND(ISNUMBER($D266),ISNUMBER($E266)),ROUND($D266*$E266,2),"")</f>
      </c>
    </row>
    <row r="267">
      <c r="A267" s="7">
        <f>IF(OR(OFFSET('Inwentaryzacja'!$A$6,250,0)&lt;&gt;"",LEN($D267)&gt;0,LEN($E267)&gt;0),COUNT($A$18:$A266)+1,"")</f>
      </c>
      <c r="B267" s="7">
        <f>IF(OFFSET('Inwentaryzacja'!$A$6,250,0)&lt;&gt;"",OFFSET('Inwentaryzacja'!$A$6,250,0),IF(AND(ISNUMBER($A266),COUNT($A267:$A$517)=0),"Spis zakończono na pozycji "&amp;$A266,""))</f>
      </c>
      <c r="C267" s="7">
        <f>IF(OR(OFFSET('Inwentaryzacja'!$A$6,250,0)="",OFFSET('Inwentaryzacja'!$B$6,250,0)=""),"",OFFSET('Inwentaryzacja'!$B$6,250,0))</f>
      </c>
      <c r="D267" s="7">
        <f>IF(OR(OFFSET('Inwentaryzacja'!$A$6,250,0)="",OFFSET('Inwentaryzacja'!$D$6,250,0)=""),"",OFFSET('Inwentaryzacja'!$D$6,250,0))</f>
      </c>
      <c r="F267" s="8">
        <f>IF(AND(ISNUMBER($D267),ISNUMBER($E267)),ROUND($D267*$E267,2),"")</f>
      </c>
    </row>
    <row r="268">
      <c r="A268" s="7">
        <f>IF(OR(OFFSET('Inwentaryzacja'!$A$6,251,0)&lt;&gt;"",LEN($D268)&gt;0,LEN($E268)&gt;0),COUNT($A$18:$A267)+1,"")</f>
      </c>
      <c r="B268" s="7">
        <f>IF(OFFSET('Inwentaryzacja'!$A$6,251,0)&lt;&gt;"",OFFSET('Inwentaryzacja'!$A$6,251,0),IF(AND(ISNUMBER($A267),COUNT($A268:$A$517)=0),"Spis zakończono na pozycji "&amp;$A267,""))</f>
      </c>
      <c r="C268" s="7">
        <f>IF(OR(OFFSET('Inwentaryzacja'!$A$6,251,0)="",OFFSET('Inwentaryzacja'!$B$6,251,0)=""),"",OFFSET('Inwentaryzacja'!$B$6,251,0))</f>
      </c>
      <c r="D268" s="7">
        <f>IF(OR(OFFSET('Inwentaryzacja'!$A$6,251,0)="",OFFSET('Inwentaryzacja'!$D$6,251,0)=""),"",OFFSET('Inwentaryzacja'!$D$6,251,0))</f>
      </c>
      <c r="F268" s="8">
        <f>IF(AND(ISNUMBER($D268),ISNUMBER($E268)),ROUND($D268*$E268,2),"")</f>
      </c>
    </row>
    <row r="269">
      <c r="A269" s="7">
        <f>IF(OR(OFFSET('Inwentaryzacja'!$A$6,252,0)&lt;&gt;"",LEN($D269)&gt;0,LEN($E269)&gt;0),COUNT($A$18:$A268)+1,"")</f>
      </c>
      <c r="B269" s="7">
        <f>IF(OFFSET('Inwentaryzacja'!$A$6,252,0)&lt;&gt;"",OFFSET('Inwentaryzacja'!$A$6,252,0),IF(AND(ISNUMBER($A268),COUNT($A269:$A$517)=0),"Spis zakończono na pozycji "&amp;$A268,""))</f>
      </c>
      <c r="C269" s="7">
        <f>IF(OR(OFFSET('Inwentaryzacja'!$A$6,252,0)="",OFFSET('Inwentaryzacja'!$B$6,252,0)=""),"",OFFSET('Inwentaryzacja'!$B$6,252,0))</f>
      </c>
      <c r="D269" s="7">
        <f>IF(OR(OFFSET('Inwentaryzacja'!$A$6,252,0)="",OFFSET('Inwentaryzacja'!$D$6,252,0)=""),"",OFFSET('Inwentaryzacja'!$D$6,252,0))</f>
      </c>
      <c r="F269" s="8">
        <f>IF(AND(ISNUMBER($D269),ISNUMBER($E269)),ROUND($D269*$E269,2),"")</f>
      </c>
    </row>
    <row r="270">
      <c r="A270" s="7">
        <f>IF(OR(OFFSET('Inwentaryzacja'!$A$6,253,0)&lt;&gt;"",LEN($D270)&gt;0,LEN($E270)&gt;0),COUNT($A$18:$A269)+1,"")</f>
      </c>
      <c r="B270" s="7">
        <f>IF(OFFSET('Inwentaryzacja'!$A$6,253,0)&lt;&gt;"",OFFSET('Inwentaryzacja'!$A$6,253,0),IF(AND(ISNUMBER($A269),COUNT($A270:$A$517)=0),"Spis zakończono na pozycji "&amp;$A269,""))</f>
      </c>
      <c r="C270" s="7">
        <f>IF(OR(OFFSET('Inwentaryzacja'!$A$6,253,0)="",OFFSET('Inwentaryzacja'!$B$6,253,0)=""),"",OFFSET('Inwentaryzacja'!$B$6,253,0))</f>
      </c>
      <c r="D270" s="7">
        <f>IF(OR(OFFSET('Inwentaryzacja'!$A$6,253,0)="",OFFSET('Inwentaryzacja'!$D$6,253,0)=""),"",OFFSET('Inwentaryzacja'!$D$6,253,0))</f>
      </c>
      <c r="F270" s="8">
        <f>IF(AND(ISNUMBER($D270),ISNUMBER($E270)),ROUND($D270*$E270,2),"")</f>
      </c>
    </row>
    <row r="271">
      <c r="A271" s="7">
        <f>IF(OR(OFFSET('Inwentaryzacja'!$A$6,254,0)&lt;&gt;"",LEN($D271)&gt;0,LEN($E271)&gt;0),COUNT($A$18:$A270)+1,"")</f>
      </c>
      <c r="B271" s="7">
        <f>IF(OFFSET('Inwentaryzacja'!$A$6,254,0)&lt;&gt;"",OFFSET('Inwentaryzacja'!$A$6,254,0),IF(AND(ISNUMBER($A270),COUNT($A271:$A$517)=0),"Spis zakończono na pozycji "&amp;$A270,""))</f>
      </c>
      <c r="C271" s="7">
        <f>IF(OR(OFFSET('Inwentaryzacja'!$A$6,254,0)="",OFFSET('Inwentaryzacja'!$B$6,254,0)=""),"",OFFSET('Inwentaryzacja'!$B$6,254,0))</f>
      </c>
      <c r="D271" s="7">
        <f>IF(OR(OFFSET('Inwentaryzacja'!$A$6,254,0)="",OFFSET('Inwentaryzacja'!$D$6,254,0)=""),"",OFFSET('Inwentaryzacja'!$D$6,254,0))</f>
      </c>
      <c r="F271" s="8">
        <f>IF(AND(ISNUMBER($D271),ISNUMBER($E271)),ROUND($D271*$E271,2),"")</f>
      </c>
    </row>
    <row r="272">
      <c r="A272" s="7">
        <f>IF(OR(OFFSET('Inwentaryzacja'!$A$6,255,0)&lt;&gt;"",LEN($D272)&gt;0,LEN($E272)&gt;0),COUNT($A$18:$A271)+1,"")</f>
      </c>
      <c r="B272" s="7">
        <f>IF(OFFSET('Inwentaryzacja'!$A$6,255,0)&lt;&gt;"",OFFSET('Inwentaryzacja'!$A$6,255,0),IF(AND(ISNUMBER($A271),COUNT($A272:$A$517)=0),"Spis zakończono na pozycji "&amp;$A271,""))</f>
      </c>
      <c r="C272" s="7">
        <f>IF(OR(OFFSET('Inwentaryzacja'!$A$6,255,0)="",OFFSET('Inwentaryzacja'!$B$6,255,0)=""),"",OFFSET('Inwentaryzacja'!$B$6,255,0))</f>
      </c>
      <c r="D272" s="7">
        <f>IF(OR(OFFSET('Inwentaryzacja'!$A$6,255,0)="",OFFSET('Inwentaryzacja'!$D$6,255,0)=""),"",OFFSET('Inwentaryzacja'!$D$6,255,0))</f>
      </c>
      <c r="F272" s="8">
        <f>IF(AND(ISNUMBER($D272),ISNUMBER($E272)),ROUND($D272*$E272,2),"")</f>
      </c>
    </row>
    <row r="273">
      <c r="A273" s="7">
        <f>IF(OR(OFFSET('Inwentaryzacja'!$A$6,256,0)&lt;&gt;"",LEN($D273)&gt;0,LEN($E273)&gt;0),COUNT($A$18:$A272)+1,"")</f>
      </c>
      <c r="B273" s="7">
        <f>IF(OFFSET('Inwentaryzacja'!$A$6,256,0)&lt;&gt;"",OFFSET('Inwentaryzacja'!$A$6,256,0),IF(AND(ISNUMBER($A272),COUNT($A273:$A$517)=0),"Spis zakończono na pozycji "&amp;$A272,""))</f>
      </c>
      <c r="C273" s="7">
        <f>IF(OR(OFFSET('Inwentaryzacja'!$A$6,256,0)="",OFFSET('Inwentaryzacja'!$B$6,256,0)=""),"",OFFSET('Inwentaryzacja'!$B$6,256,0))</f>
      </c>
      <c r="D273" s="7">
        <f>IF(OR(OFFSET('Inwentaryzacja'!$A$6,256,0)="",OFFSET('Inwentaryzacja'!$D$6,256,0)=""),"",OFFSET('Inwentaryzacja'!$D$6,256,0))</f>
      </c>
      <c r="F273" s="8">
        <f>IF(AND(ISNUMBER($D273),ISNUMBER($E273)),ROUND($D273*$E273,2),"")</f>
      </c>
    </row>
    <row r="274">
      <c r="A274" s="7">
        <f>IF(OR(OFFSET('Inwentaryzacja'!$A$6,257,0)&lt;&gt;"",LEN($D274)&gt;0,LEN($E274)&gt;0),COUNT($A$18:$A273)+1,"")</f>
      </c>
      <c r="B274" s="7">
        <f>IF(OFFSET('Inwentaryzacja'!$A$6,257,0)&lt;&gt;"",OFFSET('Inwentaryzacja'!$A$6,257,0),IF(AND(ISNUMBER($A273),COUNT($A274:$A$517)=0),"Spis zakończono na pozycji "&amp;$A273,""))</f>
      </c>
      <c r="C274" s="7">
        <f>IF(OR(OFFSET('Inwentaryzacja'!$A$6,257,0)="",OFFSET('Inwentaryzacja'!$B$6,257,0)=""),"",OFFSET('Inwentaryzacja'!$B$6,257,0))</f>
      </c>
      <c r="D274" s="7">
        <f>IF(OR(OFFSET('Inwentaryzacja'!$A$6,257,0)="",OFFSET('Inwentaryzacja'!$D$6,257,0)=""),"",OFFSET('Inwentaryzacja'!$D$6,257,0))</f>
      </c>
      <c r="F274" s="8">
        <f>IF(AND(ISNUMBER($D274),ISNUMBER($E274)),ROUND($D274*$E274,2),"")</f>
      </c>
    </row>
    <row r="275">
      <c r="A275" s="7">
        <f>IF(OR(OFFSET('Inwentaryzacja'!$A$6,258,0)&lt;&gt;"",LEN($D275)&gt;0,LEN($E275)&gt;0),COUNT($A$18:$A274)+1,"")</f>
      </c>
      <c r="B275" s="7">
        <f>IF(OFFSET('Inwentaryzacja'!$A$6,258,0)&lt;&gt;"",OFFSET('Inwentaryzacja'!$A$6,258,0),IF(AND(ISNUMBER($A274),COUNT($A275:$A$517)=0),"Spis zakończono na pozycji "&amp;$A274,""))</f>
      </c>
      <c r="C275" s="7">
        <f>IF(OR(OFFSET('Inwentaryzacja'!$A$6,258,0)="",OFFSET('Inwentaryzacja'!$B$6,258,0)=""),"",OFFSET('Inwentaryzacja'!$B$6,258,0))</f>
      </c>
      <c r="D275" s="7">
        <f>IF(OR(OFFSET('Inwentaryzacja'!$A$6,258,0)="",OFFSET('Inwentaryzacja'!$D$6,258,0)=""),"",OFFSET('Inwentaryzacja'!$D$6,258,0))</f>
      </c>
      <c r="F275" s="8">
        <f>IF(AND(ISNUMBER($D275),ISNUMBER($E275)),ROUND($D275*$E275,2),"")</f>
      </c>
    </row>
    <row r="276">
      <c r="A276" s="7">
        <f>IF(OR(OFFSET('Inwentaryzacja'!$A$6,259,0)&lt;&gt;"",LEN($D276)&gt;0,LEN($E276)&gt;0),COUNT($A$18:$A275)+1,"")</f>
      </c>
      <c r="B276" s="7">
        <f>IF(OFFSET('Inwentaryzacja'!$A$6,259,0)&lt;&gt;"",OFFSET('Inwentaryzacja'!$A$6,259,0),IF(AND(ISNUMBER($A275),COUNT($A276:$A$517)=0),"Spis zakończono na pozycji "&amp;$A275,""))</f>
      </c>
      <c r="C276" s="7">
        <f>IF(OR(OFFSET('Inwentaryzacja'!$A$6,259,0)="",OFFSET('Inwentaryzacja'!$B$6,259,0)=""),"",OFFSET('Inwentaryzacja'!$B$6,259,0))</f>
      </c>
      <c r="D276" s="7">
        <f>IF(OR(OFFSET('Inwentaryzacja'!$A$6,259,0)="",OFFSET('Inwentaryzacja'!$D$6,259,0)=""),"",OFFSET('Inwentaryzacja'!$D$6,259,0))</f>
      </c>
      <c r="F276" s="8">
        <f>IF(AND(ISNUMBER($D276),ISNUMBER($E276)),ROUND($D276*$E276,2),"")</f>
      </c>
    </row>
    <row r="277">
      <c r="A277" s="7">
        <f>IF(OR(OFFSET('Inwentaryzacja'!$A$6,260,0)&lt;&gt;"",LEN($D277)&gt;0,LEN($E277)&gt;0),COUNT($A$18:$A276)+1,"")</f>
      </c>
      <c r="B277" s="7">
        <f>IF(OFFSET('Inwentaryzacja'!$A$6,260,0)&lt;&gt;"",OFFSET('Inwentaryzacja'!$A$6,260,0),IF(AND(ISNUMBER($A276),COUNT($A277:$A$517)=0),"Spis zakończono na pozycji "&amp;$A276,""))</f>
      </c>
      <c r="C277" s="7">
        <f>IF(OR(OFFSET('Inwentaryzacja'!$A$6,260,0)="",OFFSET('Inwentaryzacja'!$B$6,260,0)=""),"",OFFSET('Inwentaryzacja'!$B$6,260,0))</f>
      </c>
      <c r="D277" s="7">
        <f>IF(OR(OFFSET('Inwentaryzacja'!$A$6,260,0)="",OFFSET('Inwentaryzacja'!$D$6,260,0)=""),"",OFFSET('Inwentaryzacja'!$D$6,260,0))</f>
      </c>
      <c r="F277" s="8">
        <f>IF(AND(ISNUMBER($D277),ISNUMBER($E277)),ROUND($D277*$E277,2),"")</f>
      </c>
    </row>
    <row r="278">
      <c r="A278" s="7">
        <f>IF(OR(OFFSET('Inwentaryzacja'!$A$6,261,0)&lt;&gt;"",LEN($D278)&gt;0,LEN($E278)&gt;0),COUNT($A$18:$A277)+1,"")</f>
      </c>
      <c r="B278" s="7">
        <f>IF(OFFSET('Inwentaryzacja'!$A$6,261,0)&lt;&gt;"",OFFSET('Inwentaryzacja'!$A$6,261,0),IF(AND(ISNUMBER($A277),COUNT($A278:$A$517)=0),"Spis zakończono na pozycji "&amp;$A277,""))</f>
      </c>
      <c r="C278" s="7">
        <f>IF(OR(OFFSET('Inwentaryzacja'!$A$6,261,0)="",OFFSET('Inwentaryzacja'!$B$6,261,0)=""),"",OFFSET('Inwentaryzacja'!$B$6,261,0))</f>
      </c>
      <c r="D278" s="7">
        <f>IF(OR(OFFSET('Inwentaryzacja'!$A$6,261,0)="",OFFSET('Inwentaryzacja'!$D$6,261,0)=""),"",OFFSET('Inwentaryzacja'!$D$6,261,0))</f>
      </c>
      <c r="F278" s="8">
        <f>IF(AND(ISNUMBER($D278),ISNUMBER($E278)),ROUND($D278*$E278,2),"")</f>
      </c>
    </row>
    <row r="279">
      <c r="A279" s="7">
        <f>IF(OR(OFFSET('Inwentaryzacja'!$A$6,262,0)&lt;&gt;"",LEN($D279)&gt;0,LEN($E279)&gt;0),COUNT($A$18:$A278)+1,"")</f>
      </c>
      <c r="B279" s="7">
        <f>IF(OFFSET('Inwentaryzacja'!$A$6,262,0)&lt;&gt;"",OFFSET('Inwentaryzacja'!$A$6,262,0),IF(AND(ISNUMBER($A278),COUNT($A279:$A$517)=0),"Spis zakończono na pozycji "&amp;$A278,""))</f>
      </c>
      <c r="C279" s="7">
        <f>IF(OR(OFFSET('Inwentaryzacja'!$A$6,262,0)="",OFFSET('Inwentaryzacja'!$B$6,262,0)=""),"",OFFSET('Inwentaryzacja'!$B$6,262,0))</f>
      </c>
      <c r="D279" s="7">
        <f>IF(OR(OFFSET('Inwentaryzacja'!$A$6,262,0)="",OFFSET('Inwentaryzacja'!$D$6,262,0)=""),"",OFFSET('Inwentaryzacja'!$D$6,262,0))</f>
      </c>
      <c r="F279" s="8">
        <f>IF(AND(ISNUMBER($D279),ISNUMBER($E279)),ROUND($D279*$E279,2),"")</f>
      </c>
    </row>
    <row r="280">
      <c r="A280" s="7">
        <f>IF(OR(OFFSET('Inwentaryzacja'!$A$6,263,0)&lt;&gt;"",LEN($D280)&gt;0,LEN($E280)&gt;0),COUNT($A$18:$A279)+1,"")</f>
      </c>
      <c r="B280" s="7">
        <f>IF(OFFSET('Inwentaryzacja'!$A$6,263,0)&lt;&gt;"",OFFSET('Inwentaryzacja'!$A$6,263,0),IF(AND(ISNUMBER($A279),COUNT($A280:$A$517)=0),"Spis zakończono na pozycji "&amp;$A279,""))</f>
      </c>
      <c r="C280" s="7">
        <f>IF(OR(OFFSET('Inwentaryzacja'!$A$6,263,0)="",OFFSET('Inwentaryzacja'!$B$6,263,0)=""),"",OFFSET('Inwentaryzacja'!$B$6,263,0))</f>
      </c>
      <c r="D280" s="7">
        <f>IF(OR(OFFSET('Inwentaryzacja'!$A$6,263,0)="",OFFSET('Inwentaryzacja'!$D$6,263,0)=""),"",OFFSET('Inwentaryzacja'!$D$6,263,0))</f>
      </c>
      <c r="F280" s="8">
        <f>IF(AND(ISNUMBER($D280),ISNUMBER($E280)),ROUND($D280*$E280,2),"")</f>
      </c>
    </row>
    <row r="281">
      <c r="A281" s="7">
        <f>IF(OR(OFFSET('Inwentaryzacja'!$A$6,264,0)&lt;&gt;"",LEN($D281)&gt;0,LEN($E281)&gt;0),COUNT($A$18:$A280)+1,"")</f>
      </c>
      <c r="B281" s="7">
        <f>IF(OFFSET('Inwentaryzacja'!$A$6,264,0)&lt;&gt;"",OFFSET('Inwentaryzacja'!$A$6,264,0),IF(AND(ISNUMBER($A280),COUNT($A281:$A$517)=0),"Spis zakończono na pozycji "&amp;$A280,""))</f>
      </c>
      <c r="C281" s="7">
        <f>IF(OR(OFFSET('Inwentaryzacja'!$A$6,264,0)="",OFFSET('Inwentaryzacja'!$B$6,264,0)=""),"",OFFSET('Inwentaryzacja'!$B$6,264,0))</f>
      </c>
      <c r="D281" s="7">
        <f>IF(OR(OFFSET('Inwentaryzacja'!$A$6,264,0)="",OFFSET('Inwentaryzacja'!$D$6,264,0)=""),"",OFFSET('Inwentaryzacja'!$D$6,264,0))</f>
      </c>
      <c r="F281" s="8">
        <f>IF(AND(ISNUMBER($D281),ISNUMBER($E281)),ROUND($D281*$E281,2),"")</f>
      </c>
    </row>
    <row r="282">
      <c r="A282" s="7">
        <f>IF(OR(OFFSET('Inwentaryzacja'!$A$6,265,0)&lt;&gt;"",LEN($D282)&gt;0,LEN($E282)&gt;0),COUNT($A$18:$A281)+1,"")</f>
      </c>
      <c r="B282" s="7">
        <f>IF(OFFSET('Inwentaryzacja'!$A$6,265,0)&lt;&gt;"",OFFSET('Inwentaryzacja'!$A$6,265,0),IF(AND(ISNUMBER($A281),COUNT($A282:$A$517)=0),"Spis zakończono na pozycji "&amp;$A281,""))</f>
      </c>
      <c r="C282" s="7">
        <f>IF(OR(OFFSET('Inwentaryzacja'!$A$6,265,0)="",OFFSET('Inwentaryzacja'!$B$6,265,0)=""),"",OFFSET('Inwentaryzacja'!$B$6,265,0))</f>
      </c>
      <c r="D282" s="7">
        <f>IF(OR(OFFSET('Inwentaryzacja'!$A$6,265,0)="",OFFSET('Inwentaryzacja'!$D$6,265,0)=""),"",OFFSET('Inwentaryzacja'!$D$6,265,0))</f>
      </c>
      <c r="F282" s="8">
        <f>IF(AND(ISNUMBER($D282),ISNUMBER($E282)),ROUND($D282*$E282,2),"")</f>
      </c>
    </row>
    <row r="283">
      <c r="A283" s="7">
        <f>IF(OR(OFFSET('Inwentaryzacja'!$A$6,266,0)&lt;&gt;"",LEN($D283)&gt;0,LEN($E283)&gt;0),COUNT($A$18:$A282)+1,"")</f>
      </c>
      <c r="B283" s="7">
        <f>IF(OFFSET('Inwentaryzacja'!$A$6,266,0)&lt;&gt;"",OFFSET('Inwentaryzacja'!$A$6,266,0),IF(AND(ISNUMBER($A282),COUNT($A283:$A$517)=0),"Spis zakończono na pozycji "&amp;$A282,""))</f>
      </c>
      <c r="C283" s="7">
        <f>IF(OR(OFFSET('Inwentaryzacja'!$A$6,266,0)="",OFFSET('Inwentaryzacja'!$B$6,266,0)=""),"",OFFSET('Inwentaryzacja'!$B$6,266,0))</f>
      </c>
      <c r="D283" s="7">
        <f>IF(OR(OFFSET('Inwentaryzacja'!$A$6,266,0)="",OFFSET('Inwentaryzacja'!$D$6,266,0)=""),"",OFFSET('Inwentaryzacja'!$D$6,266,0))</f>
      </c>
      <c r="F283" s="8">
        <f>IF(AND(ISNUMBER($D283),ISNUMBER($E283)),ROUND($D283*$E283,2),"")</f>
      </c>
    </row>
    <row r="284">
      <c r="A284" s="7">
        <f>IF(OR(OFFSET('Inwentaryzacja'!$A$6,267,0)&lt;&gt;"",LEN($D284)&gt;0,LEN($E284)&gt;0),COUNT($A$18:$A283)+1,"")</f>
      </c>
      <c r="B284" s="7">
        <f>IF(OFFSET('Inwentaryzacja'!$A$6,267,0)&lt;&gt;"",OFFSET('Inwentaryzacja'!$A$6,267,0),IF(AND(ISNUMBER($A283),COUNT($A284:$A$517)=0),"Spis zakończono na pozycji "&amp;$A283,""))</f>
      </c>
      <c r="C284" s="7">
        <f>IF(OR(OFFSET('Inwentaryzacja'!$A$6,267,0)="",OFFSET('Inwentaryzacja'!$B$6,267,0)=""),"",OFFSET('Inwentaryzacja'!$B$6,267,0))</f>
      </c>
      <c r="D284" s="7">
        <f>IF(OR(OFFSET('Inwentaryzacja'!$A$6,267,0)="",OFFSET('Inwentaryzacja'!$D$6,267,0)=""),"",OFFSET('Inwentaryzacja'!$D$6,267,0))</f>
      </c>
      <c r="F284" s="8">
        <f>IF(AND(ISNUMBER($D284),ISNUMBER($E284)),ROUND($D284*$E284,2),"")</f>
      </c>
    </row>
    <row r="285">
      <c r="A285" s="7">
        <f>IF(OR(OFFSET('Inwentaryzacja'!$A$6,268,0)&lt;&gt;"",LEN($D285)&gt;0,LEN($E285)&gt;0),COUNT($A$18:$A284)+1,"")</f>
      </c>
      <c r="B285" s="7">
        <f>IF(OFFSET('Inwentaryzacja'!$A$6,268,0)&lt;&gt;"",OFFSET('Inwentaryzacja'!$A$6,268,0),IF(AND(ISNUMBER($A284),COUNT($A285:$A$517)=0),"Spis zakończono na pozycji "&amp;$A284,""))</f>
      </c>
      <c r="C285" s="7">
        <f>IF(OR(OFFSET('Inwentaryzacja'!$A$6,268,0)="",OFFSET('Inwentaryzacja'!$B$6,268,0)=""),"",OFFSET('Inwentaryzacja'!$B$6,268,0))</f>
      </c>
      <c r="D285" s="7">
        <f>IF(OR(OFFSET('Inwentaryzacja'!$A$6,268,0)="",OFFSET('Inwentaryzacja'!$D$6,268,0)=""),"",OFFSET('Inwentaryzacja'!$D$6,268,0))</f>
      </c>
      <c r="F285" s="8">
        <f>IF(AND(ISNUMBER($D285),ISNUMBER($E285)),ROUND($D285*$E285,2),"")</f>
      </c>
    </row>
    <row r="286">
      <c r="A286" s="7">
        <f>IF(OR(OFFSET('Inwentaryzacja'!$A$6,269,0)&lt;&gt;"",LEN($D286)&gt;0,LEN($E286)&gt;0),COUNT($A$18:$A285)+1,"")</f>
      </c>
      <c r="B286" s="7">
        <f>IF(OFFSET('Inwentaryzacja'!$A$6,269,0)&lt;&gt;"",OFFSET('Inwentaryzacja'!$A$6,269,0),IF(AND(ISNUMBER($A285),COUNT($A286:$A$517)=0),"Spis zakończono na pozycji "&amp;$A285,""))</f>
      </c>
      <c r="C286" s="7">
        <f>IF(OR(OFFSET('Inwentaryzacja'!$A$6,269,0)="",OFFSET('Inwentaryzacja'!$B$6,269,0)=""),"",OFFSET('Inwentaryzacja'!$B$6,269,0))</f>
      </c>
      <c r="D286" s="7">
        <f>IF(OR(OFFSET('Inwentaryzacja'!$A$6,269,0)="",OFFSET('Inwentaryzacja'!$D$6,269,0)=""),"",OFFSET('Inwentaryzacja'!$D$6,269,0))</f>
      </c>
      <c r="F286" s="8">
        <f>IF(AND(ISNUMBER($D286),ISNUMBER($E286)),ROUND($D286*$E286,2),"")</f>
      </c>
    </row>
    <row r="287">
      <c r="A287" s="7">
        <f>IF(OR(OFFSET('Inwentaryzacja'!$A$6,270,0)&lt;&gt;"",LEN($D287)&gt;0,LEN($E287)&gt;0),COUNT($A$18:$A286)+1,"")</f>
      </c>
      <c r="B287" s="7">
        <f>IF(OFFSET('Inwentaryzacja'!$A$6,270,0)&lt;&gt;"",OFFSET('Inwentaryzacja'!$A$6,270,0),IF(AND(ISNUMBER($A286),COUNT($A287:$A$517)=0),"Spis zakończono na pozycji "&amp;$A286,""))</f>
      </c>
      <c r="C287" s="7">
        <f>IF(OR(OFFSET('Inwentaryzacja'!$A$6,270,0)="",OFFSET('Inwentaryzacja'!$B$6,270,0)=""),"",OFFSET('Inwentaryzacja'!$B$6,270,0))</f>
      </c>
      <c r="D287" s="7">
        <f>IF(OR(OFFSET('Inwentaryzacja'!$A$6,270,0)="",OFFSET('Inwentaryzacja'!$D$6,270,0)=""),"",OFFSET('Inwentaryzacja'!$D$6,270,0))</f>
      </c>
      <c r="F287" s="8">
        <f>IF(AND(ISNUMBER($D287),ISNUMBER($E287)),ROUND($D287*$E287,2),"")</f>
      </c>
    </row>
    <row r="288">
      <c r="A288" s="7">
        <f>IF(OR(OFFSET('Inwentaryzacja'!$A$6,271,0)&lt;&gt;"",LEN($D288)&gt;0,LEN($E288)&gt;0),COUNT($A$18:$A287)+1,"")</f>
      </c>
      <c r="B288" s="7">
        <f>IF(OFFSET('Inwentaryzacja'!$A$6,271,0)&lt;&gt;"",OFFSET('Inwentaryzacja'!$A$6,271,0),IF(AND(ISNUMBER($A287),COUNT($A288:$A$517)=0),"Spis zakończono na pozycji "&amp;$A287,""))</f>
      </c>
      <c r="C288" s="7">
        <f>IF(OR(OFFSET('Inwentaryzacja'!$A$6,271,0)="",OFFSET('Inwentaryzacja'!$B$6,271,0)=""),"",OFFSET('Inwentaryzacja'!$B$6,271,0))</f>
      </c>
      <c r="D288" s="7">
        <f>IF(OR(OFFSET('Inwentaryzacja'!$A$6,271,0)="",OFFSET('Inwentaryzacja'!$D$6,271,0)=""),"",OFFSET('Inwentaryzacja'!$D$6,271,0))</f>
      </c>
      <c r="F288" s="8">
        <f>IF(AND(ISNUMBER($D288),ISNUMBER($E288)),ROUND($D288*$E288,2),"")</f>
      </c>
    </row>
    <row r="289">
      <c r="A289" s="7">
        <f>IF(OR(OFFSET('Inwentaryzacja'!$A$6,272,0)&lt;&gt;"",LEN($D289)&gt;0,LEN($E289)&gt;0),COUNT($A$18:$A288)+1,"")</f>
      </c>
      <c r="B289" s="7">
        <f>IF(OFFSET('Inwentaryzacja'!$A$6,272,0)&lt;&gt;"",OFFSET('Inwentaryzacja'!$A$6,272,0),IF(AND(ISNUMBER($A288),COUNT($A289:$A$517)=0),"Spis zakończono na pozycji "&amp;$A288,""))</f>
      </c>
      <c r="C289" s="7">
        <f>IF(OR(OFFSET('Inwentaryzacja'!$A$6,272,0)="",OFFSET('Inwentaryzacja'!$B$6,272,0)=""),"",OFFSET('Inwentaryzacja'!$B$6,272,0))</f>
      </c>
      <c r="D289" s="7">
        <f>IF(OR(OFFSET('Inwentaryzacja'!$A$6,272,0)="",OFFSET('Inwentaryzacja'!$D$6,272,0)=""),"",OFFSET('Inwentaryzacja'!$D$6,272,0))</f>
      </c>
      <c r="F289" s="8">
        <f>IF(AND(ISNUMBER($D289),ISNUMBER($E289)),ROUND($D289*$E289,2),"")</f>
      </c>
    </row>
    <row r="290">
      <c r="A290" s="7">
        <f>IF(OR(OFFSET('Inwentaryzacja'!$A$6,273,0)&lt;&gt;"",LEN($D290)&gt;0,LEN($E290)&gt;0),COUNT($A$18:$A289)+1,"")</f>
      </c>
      <c r="B290" s="7">
        <f>IF(OFFSET('Inwentaryzacja'!$A$6,273,0)&lt;&gt;"",OFFSET('Inwentaryzacja'!$A$6,273,0),IF(AND(ISNUMBER($A289),COUNT($A290:$A$517)=0),"Spis zakończono na pozycji "&amp;$A289,""))</f>
      </c>
      <c r="C290" s="7">
        <f>IF(OR(OFFSET('Inwentaryzacja'!$A$6,273,0)="",OFFSET('Inwentaryzacja'!$B$6,273,0)=""),"",OFFSET('Inwentaryzacja'!$B$6,273,0))</f>
      </c>
      <c r="D290" s="7">
        <f>IF(OR(OFFSET('Inwentaryzacja'!$A$6,273,0)="",OFFSET('Inwentaryzacja'!$D$6,273,0)=""),"",OFFSET('Inwentaryzacja'!$D$6,273,0))</f>
      </c>
      <c r="F290" s="8">
        <f>IF(AND(ISNUMBER($D290),ISNUMBER($E290)),ROUND($D290*$E290,2),"")</f>
      </c>
    </row>
    <row r="291">
      <c r="A291" s="7">
        <f>IF(OR(OFFSET('Inwentaryzacja'!$A$6,274,0)&lt;&gt;"",LEN($D291)&gt;0,LEN($E291)&gt;0),COUNT($A$18:$A290)+1,"")</f>
      </c>
      <c r="B291" s="7">
        <f>IF(OFFSET('Inwentaryzacja'!$A$6,274,0)&lt;&gt;"",OFFSET('Inwentaryzacja'!$A$6,274,0),IF(AND(ISNUMBER($A290),COUNT($A291:$A$517)=0),"Spis zakończono na pozycji "&amp;$A290,""))</f>
      </c>
      <c r="C291" s="7">
        <f>IF(OR(OFFSET('Inwentaryzacja'!$A$6,274,0)="",OFFSET('Inwentaryzacja'!$B$6,274,0)=""),"",OFFSET('Inwentaryzacja'!$B$6,274,0))</f>
      </c>
      <c r="D291" s="7">
        <f>IF(OR(OFFSET('Inwentaryzacja'!$A$6,274,0)="",OFFSET('Inwentaryzacja'!$D$6,274,0)=""),"",OFFSET('Inwentaryzacja'!$D$6,274,0))</f>
      </c>
      <c r="F291" s="8">
        <f>IF(AND(ISNUMBER($D291),ISNUMBER($E291)),ROUND($D291*$E291,2),"")</f>
      </c>
    </row>
    <row r="292">
      <c r="A292" s="7">
        <f>IF(OR(OFFSET('Inwentaryzacja'!$A$6,275,0)&lt;&gt;"",LEN($D292)&gt;0,LEN($E292)&gt;0),COUNT($A$18:$A291)+1,"")</f>
      </c>
      <c r="B292" s="7">
        <f>IF(OFFSET('Inwentaryzacja'!$A$6,275,0)&lt;&gt;"",OFFSET('Inwentaryzacja'!$A$6,275,0),IF(AND(ISNUMBER($A291),COUNT($A292:$A$517)=0),"Spis zakończono na pozycji "&amp;$A291,""))</f>
      </c>
      <c r="C292" s="7">
        <f>IF(OR(OFFSET('Inwentaryzacja'!$A$6,275,0)="",OFFSET('Inwentaryzacja'!$B$6,275,0)=""),"",OFFSET('Inwentaryzacja'!$B$6,275,0))</f>
      </c>
      <c r="D292" s="7">
        <f>IF(OR(OFFSET('Inwentaryzacja'!$A$6,275,0)="",OFFSET('Inwentaryzacja'!$D$6,275,0)=""),"",OFFSET('Inwentaryzacja'!$D$6,275,0))</f>
      </c>
      <c r="F292" s="8">
        <f>IF(AND(ISNUMBER($D292),ISNUMBER($E292)),ROUND($D292*$E292,2),"")</f>
      </c>
    </row>
    <row r="293">
      <c r="A293" s="7">
        <f>IF(OR(OFFSET('Inwentaryzacja'!$A$6,276,0)&lt;&gt;"",LEN($D293)&gt;0,LEN($E293)&gt;0),COUNT($A$18:$A292)+1,"")</f>
      </c>
      <c r="B293" s="7">
        <f>IF(OFFSET('Inwentaryzacja'!$A$6,276,0)&lt;&gt;"",OFFSET('Inwentaryzacja'!$A$6,276,0),IF(AND(ISNUMBER($A292),COUNT($A293:$A$517)=0),"Spis zakończono na pozycji "&amp;$A292,""))</f>
      </c>
      <c r="C293" s="7">
        <f>IF(OR(OFFSET('Inwentaryzacja'!$A$6,276,0)="",OFFSET('Inwentaryzacja'!$B$6,276,0)=""),"",OFFSET('Inwentaryzacja'!$B$6,276,0))</f>
      </c>
      <c r="D293" s="7">
        <f>IF(OR(OFFSET('Inwentaryzacja'!$A$6,276,0)="",OFFSET('Inwentaryzacja'!$D$6,276,0)=""),"",OFFSET('Inwentaryzacja'!$D$6,276,0))</f>
      </c>
      <c r="F293" s="8">
        <f>IF(AND(ISNUMBER($D293),ISNUMBER($E293)),ROUND($D293*$E293,2),"")</f>
      </c>
    </row>
    <row r="294">
      <c r="A294" s="7">
        <f>IF(OR(OFFSET('Inwentaryzacja'!$A$6,277,0)&lt;&gt;"",LEN($D294)&gt;0,LEN($E294)&gt;0),COUNT($A$18:$A293)+1,"")</f>
      </c>
      <c r="B294" s="7">
        <f>IF(OFFSET('Inwentaryzacja'!$A$6,277,0)&lt;&gt;"",OFFSET('Inwentaryzacja'!$A$6,277,0),IF(AND(ISNUMBER($A293),COUNT($A294:$A$517)=0),"Spis zakończono na pozycji "&amp;$A293,""))</f>
      </c>
      <c r="C294" s="7">
        <f>IF(OR(OFFSET('Inwentaryzacja'!$A$6,277,0)="",OFFSET('Inwentaryzacja'!$B$6,277,0)=""),"",OFFSET('Inwentaryzacja'!$B$6,277,0))</f>
      </c>
      <c r="D294" s="7">
        <f>IF(OR(OFFSET('Inwentaryzacja'!$A$6,277,0)="",OFFSET('Inwentaryzacja'!$D$6,277,0)=""),"",OFFSET('Inwentaryzacja'!$D$6,277,0))</f>
      </c>
      <c r="F294" s="8">
        <f>IF(AND(ISNUMBER($D294),ISNUMBER($E294)),ROUND($D294*$E294,2),"")</f>
      </c>
    </row>
    <row r="295">
      <c r="A295" s="7">
        <f>IF(OR(OFFSET('Inwentaryzacja'!$A$6,278,0)&lt;&gt;"",LEN($D295)&gt;0,LEN($E295)&gt;0),COUNT($A$18:$A294)+1,"")</f>
      </c>
      <c r="B295" s="7">
        <f>IF(OFFSET('Inwentaryzacja'!$A$6,278,0)&lt;&gt;"",OFFSET('Inwentaryzacja'!$A$6,278,0),IF(AND(ISNUMBER($A294),COUNT($A295:$A$517)=0),"Spis zakończono na pozycji "&amp;$A294,""))</f>
      </c>
      <c r="C295" s="7">
        <f>IF(OR(OFFSET('Inwentaryzacja'!$A$6,278,0)="",OFFSET('Inwentaryzacja'!$B$6,278,0)=""),"",OFFSET('Inwentaryzacja'!$B$6,278,0))</f>
      </c>
      <c r="D295" s="7">
        <f>IF(OR(OFFSET('Inwentaryzacja'!$A$6,278,0)="",OFFSET('Inwentaryzacja'!$D$6,278,0)=""),"",OFFSET('Inwentaryzacja'!$D$6,278,0))</f>
      </c>
      <c r="F295" s="8">
        <f>IF(AND(ISNUMBER($D295),ISNUMBER($E295)),ROUND($D295*$E295,2),"")</f>
      </c>
    </row>
    <row r="296">
      <c r="A296" s="7">
        <f>IF(OR(OFFSET('Inwentaryzacja'!$A$6,279,0)&lt;&gt;"",LEN($D296)&gt;0,LEN($E296)&gt;0),COUNT($A$18:$A295)+1,"")</f>
      </c>
      <c r="B296" s="7">
        <f>IF(OFFSET('Inwentaryzacja'!$A$6,279,0)&lt;&gt;"",OFFSET('Inwentaryzacja'!$A$6,279,0),IF(AND(ISNUMBER($A295),COUNT($A296:$A$517)=0),"Spis zakończono na pozycji "&amp;$A295,""))</f>
      </c>
      <c r="C296" s="7">
        <f>IF(OR(OFFSET('Inwentaryzacja'!$A$6,279,0)="",OFFSET('Inwentaryzacja'!$B$6,279,0)=""),"",OFFSET('Inwentaryzacja'!$B$6,279,0))</f>
      </c>
      <c r="D296" s="7">
        <f>IF(OR(OFFSET('Inwentaryzacja'!$A$6,279,0)="",OFFSET('Inwentaryzacja'!$D$6,279,0)=""),"",OFFSET('Inwentaryzacja'!$D$6,279,0))</f>
      </c>
      <c r="F296" s="8">
        <f>IF(AND(ISNUMBER($D296),ISNUMBER($E296)),ROUND($D296*$E296,2),"")</f>
      </c>
    </row>
    <row r="297">
      <c r="A297" s="7">
        <f>IF(OR(OFFSET('Inwentaryzacja'!$A$6,280,0)&lt;&gt;"",LEN($D297)&gt;0,LEN($E297)&gt;0),COUNT($A$18:$A296)+1,"")</f>
      </c>
      <c r="B297" s="7">
        <f>IF(OFFSET('Inwentaryzacja'!$A$6,280,0)&lt;&gt;"",OFFSET('Inwentaryzacja'!$A$6,280,0),IF(AND(ISNUMBER($A296),COUNT($A297:$A$517)=0),"Spis zakończono na pozycji "&amp;$A296,""))</f>
      </c>
      <c r="C297" s="7">
        <f>IF(OR(OFFSET('Inwentaryzacja'!$A$6,280,0)="",OFFSET('Inwentaryzacja'!$B$6,280,0)=""),"",OFFSET('Inwentaryzacja'!$B$6,280,0))</f>
      </c>
      <c r="D297" s="7">
        <f>IF(OR(OFFSET('Inwentaryzacja'!$A$6,280,0)="",OFFSET('Inwentaryzacja'!$D$6,280,0)=""),"",OFFSET('Inwentaryzacja'!$D$6,280,0))</f>
      </c>
      <c r="F297" s="8">
        <f>IF(AND(ISNUMBER($D297),ISNUMBER($E297)),ROUND($D297*$E297,2),"")</f>
      </c>
    </row>
    <row r="298">
      <c r="A298" s="7">
        <f>IF(OR(OFFSET('Inwentaryzacja'!$A$6,281,0)&lt;&gt;"",LEN($D298)&gt;0,LEN($E298)&gt;0),COUNT($A$18:$A297)+1,"")</f>
      </c>
      <c r="B298" s="7">
        <f>IF(OFFSET('Inwentaryzacja'!$A$6,281,0)&lt;&gt;"",OFFSET('Inwentaryzacja'!$A$6,281,0),IF(AND(ISNUMBER($A297),COUNT($A298:$A$517)=0),"Spis zakończono na pozycji "&amp;$A297,""))</f>
      </c>
      <c r="C298" s="7">
        <f>IF(OR(OFFSET('Inwentaryzacja'!$A$6,281,0)="",OFFSET('Inwentaryzacja'!$B$6,281,0)=""),"",OFFSET('Inwentaryzacja'!$B$6,281,0))</f>
      </c>
      <c r="D298" s="7">
        <f>IF(OR(OFFSET('Inwentaryzacja'!$A$6,281,0)="",OFFSET('Inwentaryzacja'!$D$6,281,0)=""),"",OFFSET('Inwentaryzacja'!$D$6,281,0))</f>
      </c>
      <c r="F298" s="8">
        <f>IF(AND(ISNUMBER($D298),ISNUMBER($E298)),ROUND($D298*$E298,2),"")</f>
      </c>
    </row>
    <row r="299">
      <c r="A299" s="7">
        <f>IF(OR(OFFSET('Inwentaryzacja'!$A$6,282,0)&lt;&gt;"",LEN($D299)&gt;0,LEN($E299)&gt;0),COUNT($A$18:$A298)+1,"")</f>
      </c>
      <c r="B299" s="7">
        <f>IF(OFFSET('Inwentaryzacja'!$A$6,282,0)&lt;&gt;"",OFFSET('Inwentaryzacja'!$A$6,282,0),IF(AND(ISNUMBER($A298),COUNT($A299:$A$517)=0),"Spis zakończono na pozycji "&amp;$A298,""))</f>
      </c>
      <c r="C299" s="7">
        <f>IF(OR(OFFSET('Inwentaryzacja'!$A$6,282,0)="",OFFSET('Inwentaryzacja'!$B$6,282,0)=""),"",OFFSET('Inwentaryzacja'!$B$6,282,0))</f>
      </c>
      <c r="D299" s="7">
        <f>IF(OR(OFFSET('Inwentaryzacja'!$A$6,282,0)="",OFFSET('Inwentaryzacja'!$D$6,282,0)=""),"",OFFSET('Inwentaryzacja'!$D$6,282,0))</f>
      </c>
      <c r="F299" s="8">
        <f>IF(AND(ISNUMBER($D299),ISNUMBER($E299)),ROUND($D299*$E299,2),"")</f>
      </c>
    </row>
    <row r="300">
      <c r="A300" s="7">
        <f>IF(OR(OFFSET('Inwentaryzacja'!$A$6,283,0)&lt;&gt;"",LEN($D300)&gt;0,LEN($E300)&gt;0),COUNT($A$18:$A299)+1,"")</f>
      </c>
      <c r="B300" s="7">
        <f>IF(OFFSET('Inwentaryzacja'!$A$6,283,0)&lt;&gt;"",OFFSET('Inwentaryzacja'!$A$6,283,0),IF(AND(ISNUMBER($A299),COUNT($A300:$A$517)=0),"Spis zakończono na pozycji "&amp;$A299,""))</f>
      </c>
      <c r="C300" s="7">
        <f>IF(OR(OFFSET('Inwentaryzacja'!$A$6,283,0)="",OFFSET('Inwentaryzacja'!$B$6,283,0)=""),"",OFFSET('Inwentaryzacja'!$B$6,283,0))</f>
      </c>
      <c r="D300" s="7">
        <f>IF(OR(OFFSET('Inwentaryzacja'!$A$6,283,0)="",OFFSET('Inwentaryzacja'!$D$6,283,0)=""),"",OFFSET('Inwentaryzacja'!$D$6,283,0))</f>
      </c>
      <c r="F300" s="8">
        <f>IF(AND(ISNUMBER($D300),ISNUMBER($E300)),ROUND($D300*$E300,2),"")</f>
      </c>
    </row>
    <row r="301">
      <c r="A301" s="7">
        <f>IF(OR(OFFSET('Inwentaryzacja'!$A$6,284,0)&lt;&gt;"",LEN($D301)&gt;0,LEN($E301)&gt;0),COUNT($A$18:$A300)+1,"")</f>
      </c>
      <c r="B301" s="7">
        <f>IF(OFFSET('Inwentaryzacja'!$A$6,284,0)&lt;&gt;"",OFFSET('Inwentaryzacja'!$A$6,284,0),IF(AND(ISNUMBER($A300),COUNT($A301:$A$517)=0),"Spis zakończono na pozycji "&amp;$A300,""))</f>
      </c>
      <c r="C301" s="7">
        <f>IF(OR(OFFSET('Inwentaryzacja'!$A$6,284,0)="",OFFSET('Inwentaryzacja'!$B$6,284,0)=""),"",OFFSET('Inwentaryzacja'!$B$6,284,0))</f>
      </c>
      <c r="D301" s="7">
        <f>IF(OR(OFFSET('Inwentaryzacja'!$A$6,284,0)="",OFFSET('Inwentaryzacja'!$D$6,284,0)=""),"",OFFSET('Inwentaryzacja'!$D$6,284,0))</f>
      </c>
      <c r="F301" s="8">
        <f>IF(AND(ISNUMBER($D301),ISNUMBER($E301)),ROUND($D301*$E301,2),"")</f>
      </c>
    </row>
    <row r="302">
      <c r="A302" s="7">
        <f>IF(OR(OFFSET('Inwentaryzacja'!$A$6,285,0)&lt;&gt;"",LEN($D302)&gt;0,LEN($E302)&gt;0),COUNT($A$18:$A301)+1,"")</f>
      </c>
      <c r="B302" s="7">
        <f>IF(OFFSET('Inwentaryzacja'!$A$6,285,0)&lt;&gt;"",OFFSET('Inwentaryzacja'!$A$6,285,0),IF(AND(ISNUMBER($A301),COUNT($A302:$A$517)=0),"Spis zakończono na pozycji "&amp;$A301,""))</f>
      </c>
      <c r="C302" s="7">
        <f>IF(OR(OFFSET('Inwentaryzacja'!$A$6,285,0)="",OFFSET('Inwentaryzacja'!$B$6,285,0)=""),"",OFFSET('Inwentaryzacja'!$B$6,285,0))</f>
      </c>
      <c r="D302" s="7">
        <f>IF(OR(OFFSET('Inwentaryzacja'!$A$6,285,0)="",OFFSET('Inwentaryzacja'!$D$6,285,0)=""),"",OFFSET('Inwentaryzacja'!$D$6,285,0))</f>
      </c>
      <c r="F302" s="8">
        <f>IF(AND(ISNUMBER($D302),ISNUMBER($E302)),ROUND($D302*$E302,2),"")</f>
      </c>
    </row>
    <row r="303">
      <c r="A303" s="7">
        <f>IF(OR(OFFSET('Inwentaryzacja'!$A$6,286,0)&lt;&gt;"",LEN($D303)&gt;0,LEN($E303)&gt;0),COUNT($A$18:$A302)+1,"")</f>
      </c>
      <c r="B303" s="7">
        <f>IF(OFFSET('Inwentaryzacja'!$A$6,286,0)&lt;&gt;"",OFFSET('Inwentaryzacja'!$A$6,286,0),IF(AND(ISNUMBER($A302),COUNT($A303:$A$517)=0),"Spis zakończono na pozycji "&amp;$A302,""))</f>
      </c>
      <c r="C303" s="7">
        <f>IF(OR(OFFSET('Inwentaryzacja'!$A$6,286,0)="",OFFSET('Inwentaryzacja'!$B$6,286,0)=""),"",OFFSET('Inwentaryzacja'!$B$6,286,0))</f>
      </c>
      <c r="D303" s="7">
        <f>IF(OR(OFFSET('Inwentaryzacja'!$A$6,286,0)="",OFFSET('Inwentaryzacja'!$D$6,286,0)=""),"",OFFSET('Inwentaryzacja'!$D$6,286,0))</f>
      </c>
      <c r="F303" s="8">
        <f>IF(AND(ISNUMBER($D303),ISNUMBER($E303)),ROUND($D303*$E303,2),"")</f>
      </c>
    </row>
    <row r="304">
      <c r="A304" s="7">
        <f>IF(OR(OFFSET('Inwentaryzacja'!$A$6,287,0)&lt;&gt;"",LEN($D304)&gt;0,LEN($E304)&gt;0),COUNT($A$18:$A303)+1,"")</f>
      </c>
      <c r="B304" s="7">
        <f>IF(OFFSET('Inwentaryzacja'!$A$6,287,0)&lt;&gt;"",OFFSET('Inwentaryzacja'!$A$6,287,0),IF(AND(ISNUMBER($A303),COUNT($A304:$A$517)=0),"Spis zakończono na pozycji "&amp;$A303,""))</f>
      </c>
      <c r="C304" s="7">
        <f>IF(OR(OFFSET('Inwentaryzacja'!$A$6,287,0)="",OFFSET('Inwentaryzacja'!$B$6,287,0)=""),"",OFFSET('Inwentaryzacja'!$B$6,287,0))</f>
      </c>
      <c r="D304" s="7">
        <f>IF(OR(OFFSET('Inwentaryzacja'!$A$6,287,0)="",OFFSET('Inwentaryzacja'!$D$6,287,0)=""),"",OFFSET('Inwentaryzacja'!$D$6,287,0))</f>
      </c>
      <c r="F304" s="8">
        <f>IF(AND(ISNUMBER($D304),ISNUMBER($E304)),ROUND($D304*$E304,2),"")</f>
      </c>
    </row>
    <row r="305">
      <c r="A305" s="7">
        <f>IF(OR(OFFSET('Inwentaryzacja'!$A$6,288,0)&lt;&gt;"",LEN($D305)&gt;0,LEN($E305)&gt;0),COUNT($A$18:$A304)+1,"")</f>
      </c>
      <c r="B305" s="7">
        <f>IF(OFFSET('Inwentaryzacja'!$A$6,288,0)&lt;&gt;"",OFFSET('Inwentaryzacja'!$A$6,288,0),IF(AND(ISNUMBER($A304),COUNT($A305:$A$517)=0),"Spis zakończono na pozycji "&amp;$A304,""))</f>
      </c>
      <c r="C305" s="7">
        <f>IF(OR(OFFSET('Inwentaryzacja'!$A$6,288,0)="",OFFSET('Inwentaryzacja'!$B$6,288,0)=""),"",OFFSET('Inwentaryzacja'!$B$6,288,0))</f>
      </c>
      <c r="D305" s="7">
        <f>IF(OR(OFFSET('Inwentaryzacja'!$A$6,288,0)="",OFFSET('Inwentaryzacja'!$D$6,288,0)=""),"",OFFSET('Inwentaryzacja'!$D$6,288,0))</f>
      </c>
      <c r="F305" s="8">
        <f>IF(AND(ISNUMBER($D305),ISNUMBER($E305)),ROUND($D305*$E305,2),"")</f>
      </c>
    </row>
    <row r="306">
      <c r="A306" s="7">
        <f>IF(OR(OFFSET('Inwentaryzacja'!$A$6,289,0)&lt;&gt;"",LEN($D306)&gt;0,LEN($E306)&gt;0),COUNT($A$18:$A305)+1,"")</f>
      </c>
      <c r="B306" s="7">
        <f>IF(OFFSET('Inwentaryzacja'!$A$6,289,0)&lt;&gt;"",OFFSET('Inwentaryzacja'!$A$6,289,0),IF(AND(ISNUMBER($A305),COUNT($A306:$A$517)=0),"Spis zakończono na pozycji "&amp;$A305,""))</f>
      </c>
      <c r="C306" s="7">
        <f>IF(OR(OFFSET('Inwentaryzacja'!$A$6,289,0)="",OFFSET('Inwentaryzacja'!$B$6,289,0)=""),"",OFFSET('Inwentaryzacja'!$B$6,289,0))</f>
      </c>
      <c r="D306" s="7">
        <f>IF(OR(OFFSET('Inwentaryzacja'!$A$6,289,0)="",OFFSET('Inwentaryzacja'!$D$6,289,0)=""),"",OFFSET('Inwentaryzacja'!$D$6,289,0))</f>
      </c>
      <c r="F306" s="8">
        <f>IF(AND(ISNUMBER($D306),ISNUMBER($E306)),ROUND($D306*$E306,2),"")</f>
      </c>
    </row>
    <row r="307">
      <c r="A307" s="7">
        <f>IF(OR(OFFSET('Inwentaryzacja'!$A$6,290,0)&lt;&gt;"",LEN($D307)&gt;0,LEN($E307)&gt;0),COUNT($A$18:$A306)+1,"")</f>
      </c>
      <c r="B307" s="7">
        <f>IF(OFFSET('Inwentaryzacja'!$A$6,290,0)&lt;&gt;"",OFFSET('Inwentaryzacja'!$A$6,290,0),IF(AND(ISNUMBER($A306),COUNT($A307:$A$517)=0),"Spis zakończono na pozycji "&amp;$A306,""))</f>
      </c>
      <c r="C307" s="7">
        <f>IF(OR(OFFSET('Inwentaryzacja'!$A$6,290,0)="",OFFSET('Inwentaryzacja'!$B$6,290,0)=""),"",OFFSET('Inwentaryzacja'!$B$6,290,0))</f>
      </c>
      <c r="D307" s="7">
        <f>IF(OR(OFFSET('Inwentaryzacja'!$A$6,290,0)="",OFFSET('Inwentaryzacja'!$D$6,290,0)=""),"",OFFSET('Inwentaryzacja'!$D$6,290,0))</f>
      </c>
      <c r="F307" s="8">
        <f>IF(AND(ISNUMBER($D307),ISNUMBER($E307)),ROUND($D307*$E307,2),"")</f>
      </c>
    </row>
    <row r="308">
      <c r="A308" s="7">
        <f>IF(OR(OFFSET('Inwentaryzacja'!$A$6,291,0)&lt;&gt;"",LEN($D308)&gt;0,LEN($E308)&gt;0),COUNT($A$18:$A307)+1,"")</f>
      </c>
      <c r="B308" s="7">
        <f>IF(OFFSET('Inwentaryzacja'!$A$6,291,0)&lt;&gt;"",OFFSET('Inwentaryzacja'!$A$6,291,0),IF(AND(ISNUMBER($A307),COUNT($A308:$A$517)=0),"Spis zakończono na pozycji "&amp;$A307,""))</f>
      </c>
      <c r="C308" s="7">
        <f>IF(OR(OFFSET('Inwentaryzacja'!$A$6,291,0)="",OFFSET('Inwentaryzacja'!$B$6,291,0)=""),"",OFFSET('Inwentaryzacja'!$B$6,291,0))</f>
      </c>
      <c r="D308" s="7">
        <f>IF(OR(OFFSET('Inwentaryzacja'!$A$6,291,0)="",OFFSET('Inwentaryzacja'!$D$6,291,0)=""),"",OFFSET('Inwentaryzacja'!$D$6,291,0))</f>
      </c>
      <c r="F308" s="8">
        <f>IF(AND(ISNUMBER($D308),ISNUMBER($E308)),ROUND($D308*$E308,2),"")</f>
      </c>
    </row>
    <row r="309">
      <c r="A309" s="7">
        <f>IF(OR(OFFSET('Inwentaryzacja'!$A$6,292,0)&lt;&gt;"",LEN($D309)&gt;0,LEN($E309)&gt;0),COUNT($A$18:$A308)+1,"")</f>
      </c>
      <c r="B309" s="7">
        <f>IF(OFFSET('Inwentaryzacja'!$A$6,292,0)&lt;&gt;"",OFFSET('Inwentaryzacja'!$A$6,292,0),IF(AND(ISNUMBER($A308),COUNT($A309:$A$517)=0),"Spis zakończono na pozycji "&amp;$A308,""))</f>
      </c>
      <c r="C309" s="7">
        <f>IF(OR(OFFSET('Inwentaryzacja'!$A$6,292,0)="",OFFSET('Inwentaryzacja'!$B$6,292,0)=""),"",OFFSET('Inwentaryzacja'!$B$6,292,0))</f>
      </c>
      <c r="D309" s="7">
        <f>IF(OR(OFFSET('Inwentaryzacja'!$A$6,292,0)="",OFFSET('Inwentaryzacja'!$D$6,292,0)=""),"",OFFSET('Inwentaryzacja'!$D$6,292,0))</f>
      </c>
      <c r="F309" s="8">
        <f>IF(AND(ISNUMBER($D309),ISNUMBER($E309)),ROUND($D309*$E309,2),"")</f>
      </c>
    </row>
    <row r="310">
      <c r="A310" s="7">
        <f>IF(OR(OFFSET('Inwentaryzacja'!$A$6,293,0)&lt;&gt;"",LEN($D310)&gt;0,LEN($E310)&gt;0),COUNT($A$18:$A309)+1,"")</f>
      </c>
      <c r="B310" s="7">
        <f>IF(OFFSET('Inwentaryzacja'!$A$6,293,0)&lt;&gt;"",OFFSET('Inwentaryzacja'!$A$6,293,0),IF(AND(ISNUMBER($A309),COUNT($A310:$A$517)=0),"Spis zakończono na pozycji "&amp;$A309,""))</f>
      </c>
      <c r="C310" s="7">
        <f>IF(OR(OFFSET('Inwentaryzacja'!$A$6,293,0)="",OFFSET('Inwentaryzacja'!$B$6,293,0)=""),"",OFFSET('Inwentaryzacja'!$B$6,293,0))</f>
      </c>
      <c r="D310" s="7">
        <f>IF(OR(OFFSET('Inwentaryzacja'!$A$6,293,0)="",OFFSET('Inwentaryzacja'!$D$6,293,0)=""),"",OFFSET('Inwentaryzacja'!$D$6,293,0))</f>
      </c>
      <c r="F310" s="8">
        <f>IF(AND(ISNUMBER($D310),ISNUMBER($E310)),ROUND($D310*$E310,2),"")</f>
      </c>
    </row>
    <row r="311">
      <c r="A311" s="7">
        <f>IF(OR(OFFSET('Inwentaryzacja'!$A$6,294,0)&lt;&gt;"",LEN($D311)&gt;0,LEN($E311)&gt;0),COUNT($A$18:$A310)+1,"")</f>
      </c>
      <c r="B311" s="7">
        <f>IF(OFFSET('Inwentaryzacja'!$A$6,294,0)&lt;&gt;"",OFFSET('Inwentaryzacja'!$A$6,294,0),IF(AND(ISNUMBER($A310),COUNT($A311:$A$517)=0),"Spis zakończono na pozycji "&amp;$A310,""))</f>
      </c>
      <c r="C311" s="7">
        <f>IF(OR(OFFSET('Inwentaryzacja'!$A$6,294,0)="",OFFSET('Inwentaryzacja'!$B$6,294,0)=""),"",OFFSET('Inwentaryzacja'!$B$6,294,0))</f>
      </c>
      <c r="D311" s="7">
        <f>IF(OR(OFFSET('Inwentaryzacja'!$A$6,294,0)="",OFFSET('Inwentaryzacja'!$D$6,294,0)=""),"",OFFSET('Inwentaryzacja'!$D$6,294,0))</f>
      </c>
      <c r="F311" s="8">
        <f>IF(AND(ISNUMBER($D311),ISNUMBER($E311)),ROUND($D311*$E311,2),"")</f>
      </c>
    </row>
    <row r="312">
      <c r="A312" s="7">
        <f>IF(OR(OFFSET('Inwentaryzacja'!$A$6,295,0)&lt;&gt;"",LEN($D312)&gt;0,LEN($E312)&gt;0),COUNT($A$18:$A311)+1,"")</f>
      </c>
      <c r="B312" s="7">
        <f>IF(OFFSET('Inwentaryzacja'!$A$6,295,0)&lt;&gt;"",OFFSET('Inwentaryzacja'!$A$6,295,0),IF(AND(ISNUMBER($A311),COUNT($A312:$A$517)=0),"Spis zakończono na pozycji "&amp;$A311,""))</f>
      </c>
      <c r="C312" s="7">
        <f>IF(OR(OFFSET('Inwentaryzacja'!$A$6,295,0)="",OFFSET('Inwentaryzacja'!$B$6,295,0)=""),"",OFFSET('Inwentaryzacja'!$B$6,295,0))</f>
      </c>
      <c r="D312" s="7">
        <f>IF(OR(OFFSET('Inwentaryzacja'!$A$6,295,0)="",OFFSET('Inwentaryzacja'!$D$6,295,0)=""),"",OFFSET('Inwentaryzacja'!$D$6,295,0))</f>
      </c>
      <c r="F312" s="8">
        <f>IF(AND(ISNUMBER($D312),ISNUMBER($E312)),ROUND($D312*$E312,2),"")</f>
      </c>
    </row>
    <row r="313">
      <c r="A313" s="7">
        <f>IF(OR(OFFSET('Inwentaryzacja'!$A$6,296,0)&lt;&gt;"",LEN($D313)&gt;0,LEN($E313)&gt;0),COUNT($A$18:$A312)+1,"")</f>
      </c>
      <c r="B313" s="7">
        <f>IF(OFFSET('Inwentaryzacja'!$A$6,296,0)&lt;&gt;"",OFFSET('Inwentaryzacja'!$A$6,296,0),IF(AND(ISNUMBER($A312),COUNT($A313:$A$517)=0),"Spis zakończono na pozycji "&amp;$A312,""))</f>
      </c>
      <c r="C313" s="7">
        <f>IF(OR(OFFSET('Inwentaryzacja'!$A$6,296,0)="",OFFSET('Inwentaryzacja'!$B$6,296,0)=""),"",OFFSET('Inwentaryzacja'!$B$6,296,0))</f>
      </c>
      <c r="D313" s="7">
        <f>IF(OR(OFFSET('Inwentaryzacja'!$A$6,296,0)="",OFFSET('Inwentaryzacja'!$D$6,296,0)=""),"",OFFSET('Inwentaryzacja'!$D$6,296,0))</f>
      </c>
      <c r="F313" s="8">
        <f>IF(AND(ISNUMBER($D313),ISNUMBER($E313)),ROUND($D313*$E313,2),"")</f>
      </c>
    </row>
    <row r="314">
      <c r="A314" s="7">
        <f>IF(OR(OFFSET('Inwentaryzacja'!$A$6,297,0)&lt;&gt;"",LEN($D314)&gt;0,LEN($E314)&gt;0),COUNT($A$18:$A313)+1,"")</f>
      </c>
      <c r="B314" s="7">
        <f>IF(OFFSET('Inwentaryzacja'!$A$6,297,0)&lt;&gt;"",OFFSET('Inwentaryzacja'!$A$6,297,0),IF(AND(ISNUMBER($A313),COUNT($A314:$A$517)=0),"Spis zakończono na pozycji "&amp;$A313,""))</f>
      </c>
      <c r="C314" s="7">
        <f>IF(OR(OFFSET('Inwentaryzacja'!$A$6,297,0)="",OFFSET('Inwentaryzacja'!$B$6,297,0)=""),"",OFFSET('Inwentaryzacja'!$B$6,297,0))</f>
      </c>
      <c r="D314" s="7">
        <f>IF(OR(OFFSET('Inwentaryzacja'!$A$6,297,0)="",OFFSET('Inwentaryzacja'!$D$6,297,0)=""),"",OFFSET('Inwentaryzacja'!$D$6,297,0))</f>
      </c>
      <c r="F314" s="8">
        <f>IF(AND(ISNUMBER($D314),ISNUMBER($E314)),ROUND($D314*$E314,2),"")</f>
      </c>
    </row>
    <row r="315">
      <c r="A315" s="7">
        <f>IF(OR(OFFSET('Inwentaryzacja'!$A$6,298,0)&lt;&gt;"",LEN($D315)&gt;0,LEN($E315)&gt;0),COUNT($A$18:$A314)+1,"")</f>
      </c>
      <c r="B315" s="7">
        <f>IF(OFFSET('Inwentaryzacja'!$A$6,298,0)&lt;&gt;"",OFFSET('Inwentaryzacja'!$A$6,298,0),IF(AND(ISNUMBER($A314),COUNT($A315:$A$517)=0),"Spis zakończono na pozycji "&amp;$A314,""))</f>
      </c>
      <c r="C315" s="7">
        <f>IF(OR(OFFSET('Inwentaryzacja'!$A$6,298,0)="",OFFSET('Inwentaryzacja'!$B$6,298,0)=""),"",OFFSET('Inwentaryzacja'!$B$6,298,0))</f>
      </c>
      <c r="D315" s="7">
        <f>IF(OR(OFFSET('Inwentaryzacja'!$A$6,298,0)="",OFFSET('Inwentaryzacja'!$D$6,298,0)=""),"",OFFSET('Inwentaryzacja'!$D$6,298,0))</f>
      </c>
      <c r="F315" s="8">
        <f>IF(AND(ISNUMBER($D315),ISNUMBER($E315)),ROUND($D315*$E315,2),"")</f>
      </c>
    </row>
    <row r="316">
      <c r="A316" s="7">
        <f>IF(OR(OFFSET('Inwentaryzacja'!$A$6,299,0)&lt;&gt;"",LEN($D316)&gt;0,LEN($E316)&gt;0),COUNT($A$18:$A315)+1,"")</f>
      </c>
      <c r="B316" s="7">
        <f>IF(OFFSET('Inwentaryzacja'!$A$6,299,0)&lt;&gt;"",OFFSET('Inwentaryzacja'!$A$6,299,0),IF(AND(ISNUMBER($A315),COUNT($A316:$A$517)=0),"Spis zakończono na pozycji "&amp;$A315,""))</f>
      </c>
      <c r="C316" s="7">
        <f>IF(OR(OFFSET('Inwentaryzacja'!$A$6,299,0)="",OFFSET('Inwentaryzacja'!$B$6,299,0)=""),"",OFFSET('Inwentaryzacja'!$B$6,299,0))</f>
      </c>
      <c r="D316" s="7">
        <f>IF(OR(OFFSET('Inwentaryzacja'!$A$6,299,0)="",OFFSET('Inwentaryzacja'!$D$6,299,0)=""),"",OFFSET('Inwentaryzacja'!$D$6,299,0))</f>
      </c>
      <c r="F316" s="8">
        <f>IF(AND(ISNUMBER($D316),ISNUMBER($E316)),ROUND($D316*$E316,2),"")</f>
      </c>
    </row>
    <row r="317">
      <c r="A317" s="7">
        <f>IF(OR(OFFSET('Inwentaryzacja'!$A$6,300,0)&lt;&gt;"",LEN($D317)&gt;0,LEN($E317)&gt;0),COUNT($A$18:$A316)+1,"")</f>
      </c>
      <c r="B317" s="7">
        <f>IF(OFFSET('Inwentaryzacja'!$A$6,300,0)&lt;&gt;"",OFFSET('Inwentaryzacja'!$A$6,300,0),IF(AND(ISNUMBER($A316),COUNT($A317:$A$517)=0),"Spis zakończono na pozycji "&amp;$A316,""))</f>
      </c>
      <c r="C317" s="7">
        <f>IF(OR(OFFSET('Inwentaryzacja'!$A$6,300,0)="",OFFSET('Inwentaryzacja'!$B$6,300,0)=""),"",OFFSET('Inwentaryzacja'!$B$6,300,0))</f>
      </c>
      <c r="D317" s="7">
        <f>IF(OR(OFFSET('Inwentaryzacja'!$A$6,300,0)="",OFFSET('Inwentaryzacja'!$D$6,300,0)=""),"",OFFSET('Inwentaryzacja'!$D$6,300,0))</f>
      </c>
      <c r="F317" s="8">
        <f>IF(AND(ISNUMBER($D317),ISNUMBER($E317)),ROUND($D317*$E317,2),"")</f>
      </c>
    </row>
    <row r="318">
      <c r="A318" s="7">
        <f>IF(OR(OFFSET('Inwentaryzacja'!$A$6,301,0)&lt;&gt;"",LEN($D318)&gt;0,LEN($E318)&gt;0),COUNT($A$18:$A317)+1,"")</f>
      </c>
      <c r="B318" s="7">
        <f>IF(OFFSET('Inwentaryzacja'!$A$6,301,0)&lt;&gt;"",OFFSET('Inwentaryzacja'!$A$6,301,0),IF(AND(ISNUMBER($A317),COUNT($A318:$A$517)=0),"Spis zakończono na pozycji "&amp;$A317,""))</f>
      </c>
      <c r="C318" s="7">
        <f>IF(OR(OFFSET('Inwentaryzacja'!$A$6,301,0)="",OFFSET('Inwentaryzacja'!$B$6,301,0)=""),"",OFFSET('Inwentaryzacja'!$B$6,301,0))</f>
      </c>
      <c r="D318" s="7">
        <f>IF(OR(OFFSET('Inwentaryzacja'!$A$6,301,0)="",OFFSET('Inwentaryzacja'!$D$6,301,0)=""),"",OFFSET('Inwentaryzacja'!$D$6,301,0))</f>
      </c>
      <c r="F318" s="8">
        <f>IF(AND(ISNUMBER($D318),ISNUMBER($E318)),ROUND($D318*$E318,2),"")</f>
      </c>
    </row>
    <row r="319">
      <c r="A319" s="7">
        <f>IF(OR(OFFSET('Inwentaryzacja'!$A$6,302,0)&lt;&gt;"",LEN($D319)&gt;0,LEN($E319)&gt;0),COUNT($A$18:$A318)+1,"")</f>
      </c>
      <c r="B319" s="7">
        <f>IF(OFFSET('Inwentaryzacja'!$A$6,302,0)&lt;&gt;"",OFFSET('Inwentaryzacja'!$A$6,302,0),IF(AND(ISNUMBER($A318),COUNT($A319:$A$517)=0),"Spis zakończono na pozycji "&amp;$A318,""))</f>
      </c>
      <c r="C319" s="7">
        <f>IF(OR(OFFSET('Inwentaryzacja'!$A$6,302,0)="",OFFSET('Inwentaryzacja'!$B$6,302,0)=""),"",OFFSET('Inwentaryzacja'!$B$6,302,0))</f>
      </c>
      <c r="D319" s="7">
        <f>IF(OR(OFFSET('Inwentaryzacja'!$A$6,302,0)="",OFFSET('Inwentaryzacja'!$D$6,302,0)=""),"",OFFSET('Inwentaryzacja'!$D$6,302,0))</f>
      </c>
      <c r="F319" s="8">
        <f>IF(AND(ISNUMBER($D319),ISNUMBER($E319)),ROUND($D319*$E319,2),"")</f>
      </c>
    </row>
    <row r="320">
      <c r="A320" s="7">
        <f>IF(OR(OFFSET('Inwentaryzacja'!$A$6,303,0)&lt;&gt;"",LEN($D320)&gt;0,LEN($E320)&gt;0),COUNT($A$18:$A319)+1,"")</f>
      </c>
      <c r="B320" s="7">
        <f>IF(OFFSET('Inwentaryzacja'!$A$6,303,0)&lt;&gt;"",OFFSET('Inwentaryzacja'!$A$6,303,0),IF(AND(ISNUMBER($A319),COUNT($A320:$A$517)=0),"Spis zakończono na pozycji "&amp;$A319,""))</f>
      </c>
      <c r="C320" s="7">
        <f>IF(OR(OFFSET('Inwentaryzacja'!$A$6,303,0)="",OFFSET('Inwentaryzacja'!$B$6,303,0)=""),"",OFFSET('Inwentaryzacja'!$B$6,303,0))</f>
      </c>
      <c r="D320" s="7">
        <f>IF(OR(OFFSET('Inwentaryzacja'!$A$6,303,0)="",OFFSET('Inwentaryzacja'!$D$6,303,0)=""),"",OFFSET('Inwentaryzacja'!$D$6,303,0))</f>
      </c>
      <c r="F320" s="8">
        <f>IF(AND(ISNUMBER($D320),ISNUMBER($E320)),ROUND($D320*$E320,2),"")</f>
      </c>
    </row>
    <row r="321">
      <c r="A321" s="7">
        <f>IF(OR(OFFSET('Inwentaryzacja'!$A$6,304,0)&lt;&gt;"",LEN($D321)&gt;0,LEN($E321)&gt;0),COUNT($A$18:$A320)+1,"")</f>
      </c>
      <c r="B321" s="7">
        <f>IF(OFFSET('Inwentaryzacja'!$A$6,304,0)&lt;&gt;"",OFFSET('Inwentaryzacja'!$A$6,304,0),IF(AND(ISNUMBER($A320),COUNT($A321:$A$517)=0),"Spis zakończono na pozycji "&amp;$A320,""))</f>
      </c>
      <c r="C321" s="7">
        <f>IF(OR(OFFSET('Inwentaryzacja'!$A$6,304,0)="",OFFSET('Inwentaryzacja'!$B$6,304,0)=""),"",OFFSET('Inwentaryzacja'!$B$6,304,0))</f>
      </c>
      <c r="D321" s="7">
        <f>IF(OR(OFFSET('Inwentaryzacja'!$A$6,304,0)="",OFFSET('Inwentaryzacja'!$D$6,304,0)=""),"",OFFSET('Inwentaryzacja'!$D$6,304,0))</f>
      </c>
      <c r="F321" s="8">
        <f>IF(AND(ISNUMBER($D321),ISNUMBER($E321)),ROUND($D321*$E321,2),"")</f>
      </c>
    </row>
    <row r="322">
      <c r="A322" s="7">
        <f>IF(OR(OFFSET('Inwentaryzacja'!$A$6,305,0)&lt;&gt;"",LEN($D322)&gt;0,LEN($E322)&gt;0),COUNT($A$18:$A321)+1,"")</f>
      </c>
      <c r="B322" s="7">
        <f>IF(OFFSET('Inwentaryzacja'!$A$6,305,0)&lt;&gt;"",OFFSET('Inwentaryzacja'!$A$6,305,0),IF(AND(ISNUMBER($A321),COUNT($A322:$A$517)=0),"Spis zakończono na pozycji "&amp;$A321,""))</f>
      </c>
      <c r="C322" s="7">
        <f>IF(OR(OFFSET('Inwentaryzacja'!$A$6,305,0)="",OFFSET('Inwentaryzacja'!$B$6,305,0)=""),"",OFFSET('Inwentaryzacja'!$B$6,305,0))</f>
      </c>
      <c r="D322" s="7">
        <f>IF(OR(OFFSET('Inwentaryzacja'!$A$6,305,0)="",OFFSET('Inwentaryzacja'!$D$6,305,0)=""),"",OFFSET('Inwentaryzacja'!$D$6,305,0))</f>
      </c>
      <c r="F322" s="8">
        <f>IF(AND(ISNUMBER($D322),ISNUMBER($E322)),ROUND($D322*$E322,2),"")</f>
      </c>
    </row>
    <row r="323">
      <c r="A323" s="7">
        <f>IF(OR(OFFSET('Inwentaryzacja'!$A$6,306,0)&lt;&gt;"",LEN($D323)&gt;0,LEN($E323)&gt;0),COUNT($A$18:$A322)+1,"")</f>
      </c>
      <c r="B323" s="7">
        <f>IF(OFFSET('Inwentaryzacja'!$A$6,306,0)&lt;&gt;"",OFFSET('Inwentaryzacja'!$A$6,306,0),IF(AND(ISNUMBER($A322),COUNT($A323:$A$517)=0),"Spis zakończono na pozycji "&amp;$A322,""))</f>
      </c>
      <c r="C323" s="7">
        <f>IF(OR(OFFSET('Inwentaryzacja'!$A$6,306,0)="",OFFSET('Inwentaryzacja'!$B$6,306,0)=""),"",OFFSET('Inwentaryzacja'!$B$6,306,0))</f>
      </c>
      <c r="D323" s="7">
        <f>IF(OR(OFFSET('Inwentaryzacja'!$A$6,306,0)="",OFFSET('Inwentaryzacja'!$D$6,306,0)=""),"",OFFSET('Inwentaryzacja'!$D$6,306,0))</f>
      </c>
      <c r="F323" s="8">
        <f>IF(AND(ISNUMBER($D323),ISNUMBER($E323)),ROUND($D323*$E323,2),"")</f>
      </c>
    </row>
    <row r="324">
      <c r="A324" s="7">
        <f>IF(OR(OFFSET('Inwentaryzacja'!$A$6,307,0)&lt;&gt;"",LEN($D324)&gt;0,LEN($E324)&gt;0),COUNT($A$18:$A323)+1,"")</f>
      </c>
      <c r="B324" s="7">
        <f>IF(OFFSET('Inwentaryzacja'!$A$6,307,0)&lt;&gt;"",OFFSET('Inwentaryzacja'!$A$6,307,0),IF(AND(ISNUMBER($A323),COUNT($A324:$A$517)=0),"Spis zakończono na pozycji "&amp;$A323,""))</f>
      </c>
      <c r="C324" s="7">
        <f>IF(OR(OFFSET('Inwentaryzacja'!$A$6,307,0)="",OFFSET('Inwentaryzacja'!$B$6,307,0)=""),"",OFFSET('Inwentaryzacja'!$B$6,307,0))</f>
      </c>
      <c r="D324" s="7">
        <f>IF(OR(OFFSET('Inwentaryzacja'!$A$6,307,0)="",OFFSET('Inwentaryzacja'!$D$6,307,0)=""),"",OFFSET('Inwentaryzacja'!$D$6,307,0))</f>
      </c>
      <c r="F324" s="8">
        <f>IF(AND(ISNUMBER($D324),ISNUMBER($E324)),ROUND($D324*$E324,2),"")</f>
      </c>
    </row>
    <row r="325">
      <c r="A325" s="7">
        <f>IF(OR(OFFSET('Inwentaryzacja'!$A$6,308,0)&lt;&gt;"",LEN($D325)&gt;0,LEN($E325)&gt;0),COUNT($A$18:$A324)+1,"")</f>
      </c>
      <c r="B325" s="7">
        <f>IF(OFFSET('Inwentaryzacja'!$A$6,308,0)&lt;&gt;"",OFFSET('Inwentaryzacja'!$A$6,308,0),IF(AND(ISNUMBER($A324),COUNT($A325:$A$517)=0),"Spis zakończono na pozycji "&amp;$A324,""))</f>
      </c>
      <c r="C325" s="7">
        <f>IF(OR(OFFSET('Inwentaryzacja'!$A$6,308,0)="",OFFSET('Inwentaryzacja'!$B$6,308,0)=""),"",OFFSET('Inwentaryzacja'!$B$6,308,0))</f>
      </c>
      <c r="D325" s="7">
        <f>IF(OR(OFFSET('Inwentaryzacja'!$A$6,308,0)="",OFFSET('Inwentaryzacja'!$D$6,308,0)=""),"",OFFSET('Inwentaryzacja'!$D$6,308,0))</f>
      </c>
      <c r="F325" s="8">
        <f>IF(AND(ISNUMBER($D325),ISNUMBER($E325)),ROUND($D325*$E325,2),"")</f>
      </c>
    </row>
    <row r="326">
      <c r="A326" s="7">
        <f>IF(OR(OFFSET('Inwentaryzacja'!$A$6,309,0)&lt;&gt;"",LEN($D326)&gt;0,LEN($E326)&gt;0),COUNT($A$18:$A325)+1,"")</f>
      </c>
      <c r="B326" s="7">
        <f>IF(OFFSET('Inwentaryzacja'!$A$6,309,0)&lt;&gt;"",OFFSET('Inwentaryzacja'!$A$6,309,0),IF(AND(ISNUMBER($A325),COUNT($A326:$A$517)=0),"Spis zakończono na pozycji "&amp;$A325,""))</f>
      </c>
      <c r="C326" s="7">
        <f>IF(OR(OFFSET('Inwentaryzacja'!$A$6,309,0)="",OFFSET('Inwentaryzacja'!$B$6,309,0)=""),"",OFFSET('Inwentaryzacja'!$B$6,309,0))</f>
      </c>
      <c r="D326" s="7">
        <f>IF(OR(OFFSET('Inwentaryzacja'!$A$6,309,0)="",OFFSET('Inwentaryzacja'!$D$6,309,0)=""),"",OFFSET('Inwentaryzacja'!$D$6,309,0))</f>
      </c>
      <c r="F326" s="8">
        <f>IF(AND(ISNUMBER($D326),ISNUMBER($E326)),ROUND($D326*$E326,2),"")</f>
      </c>
    </row>
    <row r="327">
      <c r="A327" s="7">
        <f>IF(OR(OFFSET('Inwentaryzacja'!$A$6,310,0)&lt;&gt;"",LEN($D327)&gt;0,LEN($E327)&gt;0),COUNT($A$18:$A326)+1,"")</f>
      </c>
      <c r="B327" s="7">
        <f>IF(OFFSET('Inwentaryzacja'!$A$6,310,0)&lt;&gt;"",OFFSET('Inwentaryzacja'!$A$6,310,0),IF(AND(ISNUMBER($A326),COUNT($A327:$A$517)=0),"Spis zakończono na pozycji "&amp;$A326,""))</f>
      </c>
      <c r="C327" s="7">
        <f>IF(OR(OFFSET('Inwentaryzacja'!$A$6,310,0)="",OFFSET('Inwentaryzacja'!$B$6,310,0)=""),"",OFFSET('Inwentaryzacja'!$B$6,310,0))</f>
      </c>
      <c r="D327" s="7">
        <f>IF(OR(OFFSET('Inwentaryzacja'!$A$6,310,0)="",OFFSET('Inwentaryzacja'!$D$6,310,0)=""),"",OFFSET('Inwentaryzacja'!$D$6,310,0))</f>
      </c>
      <c r="F327" s="8">
        <f>IF(AND(ISNUMBER($D327),ISNUMBER($E327)),ROUND($D327*$E327,2),"")</f>
      </c>
    </row>
    <row r="328">
      <c r="A328" s="7">
        <f>IF(OR(OFFSET('Inwentaryzacja'!$A$6,311,0)&lt;&gt;"",LEN($D328)&gt;0,LEN($E328)&gt;0),COUNT($A$18:$A327)+1,"")</f>
      </c>
      <c r="B328" s="7">
        <f>IF(OFFSET('Inwentaryzacja'!$A$6,311,0)&lt;&gt;"",OFFSET('Inwentaryzacja'!$A$6,311,0),IF(AND(ISNUMBER($A327),COUNT($A328:$A$517)=0),"Spis zakończono na pozycji "&amp;$A327,""))</f>
      </c>
      <c r="C328" s="7">
        <f>IF(OR(OFFSET('Inwentaryzacja'!$A$6,311,0)="",OFFSET('Inwentaryzacja'!$B$6,311,0)=""),"",OFFSET('Inwentaryzacja'!$B$6,311,0))</f>
      </c>
      <c r="D328" s="7">
        <f>IF(OR(OFFSET('Inwentaryzacja'!$A$6,311,0)="",OFFSET('Inwentaryzacja'!$D$6,311,0)=""),"",OFFSET('Inwentaryzacja'!$D$6,311,0))</f>
      </c>
      <c r="F328" s="8">
        <f>IF(AND(ISNUMBER($D328),ISNUMBER($E328)),ROUND($D328*$E328,2),"")</f>
      </c>
    </row>
    <row r="329">
      <c r="A329" s="7">
        <f>IF(OR(OFFSET('Inwentaryzacja'!$A$6,312,0)&lt;&gt;"",LEN($D329)&gt;0,LEN($E329)&gt;0),COUNT($A$18:$A328)+1,"")</f>
      </c>
      <c r="B329" s="7">
        <f>IF(OFFSET('Inwentaryzacja'!$A$6,312,0)&lt;&gt;"",OFFSET('Inwentaryzacja'!$A$6,312,0),IF(AND(ISNUMBER($A328),COUNT($A329:$A$517)=0),"Spis zakończono na pozycji "&amp;$A328,""))</f>
      </c>
      <c r="C329" s="7">
        <f>IF(OR(OFFSET('Inwentaryzacja'!$A$6,312,0)="",OFFSET('Inwentaryzacja'!$B$6,312,0)=""),"",OFFSET('Inwentaryzacja'!$B$6,312,0))</f>
      </c>
      <c r="D329" s="7">
        <f>IF(OR(OFFSET('Inwentaryzacja'!$A$6,312,0)="",OFFSET('Inwentaryzacja'!$D$6,312,0)=""),"",OFFSET('Inwentaryzacja'!$D$6,312,0))</f>
      </c>
      <c r="F329" s="8">
        <f>IF(AND(ISNUMBER($D329),ISNUMBER($E329)),ROUND($D329*$E329,2),"")</f>
      </c>
    </row>
    <row r="330">
      <c r="A330" s="7">
        <f>IF(OR(OFFSET('Inwentaryzacja'!$A$6,313,0)&lt;&gt;"",LEN($D330)&gt;0,LEN($E330)&gt;0),COUNT($A$18:$A329)+1,"")</f>
      </c>
      <c r="B330" s="7">
        <f>IF(OFFSET('Inwentaryzacja'!$A$6,313,0)&lt;&gt;"",OFFSET('Inwentaryzacja'!$A$6,313,0),IF(AND(ISNUMBER($A329),COUNT($A330:$A$517)=0),"Spis zakończono na pozycji "&amp;$A329,""))</f>
      </c>
      <c r="C330" s="7">
        <f>IF(OR(OFFSET('Inwentaryzacja'!$A$6,313,0)="",OFFSET('Inwentaryzacja'!$B$6,313,0)=""),"",OFFSET('Inwentaryzacja'!$B$6,313,0))</f>
      </c>
      <c r="D330" s="7">
        <f>IF(OR(OFFSET('Inwentaryzacja'!$A$6,313,0)="",OFFSET('Inwentaryzacja'!$D$6,313,0)=""),"",OFFSET('Inwentaryzacja'!$D$6,313,0))</f>
      </c>
      <c r="F330" s="8">
        <f>IF(AND(ISNUMBER($D330),ISNUMBER($E330)),ROUND($D330*$E330,2),"")</f>
      </c>
    </row>
    <row r="331">
      <c r="A331" s="7">
        <f>IF(OR(OFFSET('Inwentaryzacja'!$A$6,314,0)&lt;&gt;"",LEN($D331)&gt;0,LEN($E331)&gt;0),COUNT($A$18:$A330)+1,"")</f>
      </c>
      <c r="B331" s="7">
        <f>IF(OFFSET('Inwentaryzacja'!$A$6,314,0)&lt;&gt;"",OFFSET('Inwentaryzacja'!$A$6,314,0),IF(AND(ISNUMBER($A330),COUNT($A331:$A$517)=0),"Spis zakończono na pozycji "&amp;$A330,""))</f>
      </c>
      <c r="C331" s="7">
        <f>IF(OR(OFFSET('Inwentaryzacja'!$A$6,314,0)="",OFFSET('Inwentaryzacja'!$B$6,314,0)=""),"",OFFSET('Inwentaryzacja'!$B$6,314,0))</f>
      </c>
      <c r="D331" s="7">
        <f>IF(OR(OFFSET('Inwentaryzacja'!$A$6,314,0)="",OFFSET('Inwentaryzacja'!$D$6,314,0)=""),"",OFFSET('Inwentaryzacja'!$D$6,314,0))</f>
      </c>
      <c r="F331" s="8">
        <f>IF(AND(ISNUMBER($D331),ISNUMBER($E331)),ROUND($D331*$E331,2),"")</f>
      </c>
    </row>
    <row r="332">
      <c r="A332" s="7">
        <f>IF(OR(OFFSET('Inwentaryzacja'!$A$6,315,0)&lt;&gt;"",LEN($D332)&gt;0,LEN($E332)&gt;0),COUNT($A$18:$A331)+1,"")</f>
      </c>
      <c r="B332" s="7">
        <f>IF(OFFSET('Inwentaryzacja'!$A$6,315,0)&lt;&gt;"",OFFSET('Inwentaryzacja'!$A$6,315,0),IF(AND(ISNUMBER($A331),COUNT($A332:$A$517)=0),"Spis zakończono na pozycji "&amp;$A331,""))</f>
      </c>
      <c r="C332" s="7">
        <f>IF(OR(OFFSET('Inwentaryzacja'!$A$6,315,0)="",OFFSET('Inwentaryzacja'!$B$6,315,0)=""),"",OFFSET('Inwentaryzacja'!$B$6,315,0))</f>
      </c>
      <c r="D332" s="7">
        <f>IF(OR(OFFSET('Inwentaryzacja'!$A$6,315,0)="",OFFSET('Inwentaryzacja'!$D$6,315,0)=""),"",OFFSET('Inwentaryzacja'!$D$6,315,0))</f>
      </c>
      <c r="F332" s="8">
        <f>IF(AND(ISNUMBER($D332),ISNUMBER($E332)),ROUND($D332*$E332,2),"")</f>
      </c>
    </row>
    <row r="333">
      <c r="A333" s="7">
        <f>IF(OR(OFFSET('Inwentaryzacja'!$A$6,316,0)&lt;&gt;"",LEN($D333)&gt;0,LEN($E333)&gt;0),COUNT($A$18:$A332)+1,"")</f>
      </c>
      <c r="B333" s="7">
        <f>IF(OFFSET('Inwentaryzacja'!$A$6,316,0)&lt;&gt;"",OFFSET('Inwentaryzacja'!$A$6,316,0),IF(AND(ISNUMBER($A332),COUNT($A333:$A$517)=0),"Spis zakończono na pozycji "&amp;$A332,""))</f>
      </c>
      <c r="C333" s="7">
        <f>IF(OR(OFFSET('Inwentaryzacja'!$A$6,316,0)="",OFFSET('Inwentaryzacja'!$B$6,316,0)=""),"",OFFSET('Inwentaryzacja'!$B$6,316,0))</f>
      </c>
      <c r="D333" s="7">
        <f>IF(OR(OFFSET('Inwentaryzacja'!$A$6,316,0)="",OFFSET('Inwentaryzacja'!$D$6,316,0)=""),"",OFFSET('Inwentaryzacja'!$D$6,316,0))</f>
      </c>
      <c r="F333" s="8">
        <f>IF(AND(ISNUMBER($D333),ISNUMBER($E333)),ROUND($D333*$E333,2),"")</f>
      </c>
    </row>
    <row r="334">
      <c r="A334" s="7">
        <f>IF(OR(OFFSET('Inwentaryzacja'!$A$6,317,0)&lt;&gt;"",LEN($D334)&gt;0,LEN($E334)&gt;0),COUNT($A$18:$A333)+1,"")</f>
      </c>
      <c r="B334" s="7">
        <f>IF(OFFSET('Inwentaryzacja'!$A$6,317,0)&lt;&gt;"",OFFSET('Inwentaryzacja'!$A$6,317,0),IF(AND(ISNUMBER($A333),COUNT($A334:$A$517)=0),"Spis zakończono na pozycji "&amp;$A333,""))</f>
      </c>
      <c r="C334" s="7">
        <f>IF(OR(OFFSET('Inwentaryzacja'!$A$6,317,0)="",OFFSET('Inwentaryzacja'!$B$6,317,0)=""),"",OFFSET('Inwentaryzacja'!$B$6,317,0))</f>
      </c>
      <c r="D334" s="7">
        <f>IF(OR(OFFSET('Inwentaryzacja'!$A$6,317,0)="",OFFSET('Inwentaryzacja'!$D$6,317,0)=""),"",OFFSET('Inwentaryzacja'!$D$6,317,0))</f>
      </c>
      <c r="F334" s="8">
        <f>IF(AND(ISNUMBER($D334),ISNUMBER($E334)),ROUND($D334*$E334,2),"")</f>
      </c>
    </row>
    <row r="335">
      <c r="A335" s="7">
        <f>IF(OR(OFFSET('Inwentaryzacja'!$A$6,318,0)&lt;&gt;"",LEN($D335)&gt;0,LEN($E335)&gt;0),COUNT($A$18:$A334)+1,"")</f>
      </c>
      <c r="B335" s="7">
        <f>IF(OFFSET('Inwentaryzacja'!$A$6,318,0)&lt;&gt;"",OFFSET('Inwentaryzacja'!$A$6,318,0),IF(AND(ISNUMBER($A334),COUNT($A335:$A$517)=0),"Spis zakończono na pozycji "&amp;$A334,""))</f>
      </c>
      <c r="C335" s="7">
        <f>IF(OR(OFFSET('Inwentaryzacja'!$A$6,318,0)="",OFFSET('Inwentaryzacja'!$B$6,318,0)=""),"",OFFSET('Inwentaryzacja'!$B$6,318,0))</f>
      </c>
      <c r="D335" s="7">
        <f>IF(OR(OFFSET('Inwentaryzacja'!$A$6,318,0)="",OFFSET('Inwentaryzacja'!$D$6,318,0)=""),"",OFFSET('Inwentaryzacja'!$D$6,318,0))</f>
      </c>
      <c r="F335" s="8">
        <f>IF(AND(ISNUMBER($D335),ISNUMBER($E335)),ROUND($D335*$E335,2),"")</f>
      </c>
    </row>
    <row r="336">
      <c r="A336" s="7">
        <f>IF(OR(OFFSET('Inwentaryzacja'!$A$6,319,0)&lt;&gt;"",LEN($D336)&gt;0,LEN($E336)&gt;0),COUNT($A$18:$A335)+1,"")</f>
      </c>
      <c r="B336" s="7">
        <f>IF(OFFSET('Inwentaryzacja'!$A$6,319,0)&lt;&gt;"",OFFSET('Inwentaryzacja'!$A$6,319,0),IF(AND(ISNUMBER($A335),COUNT($A336:$A$517)=0),"Spis zakończono na pozycji "&amp;$A335,""))</f>
      </c>
      <c r="C336" s="7">
        <f>IF(OR(OFFSET('Inwentaryzacja'!$A$6,319,0)="",OFFSET('Inwentaryzacja'!$B$6,319,0)=""),"",OFFSET('Inwentaryzacja'!$B$6,319,0))</f>
      </c>
      <c r="D336" s="7">
        <f>IF(OR(OFFSET('Inwentaryzacja'!$A$6,319,0)="",OFFSET('Inwentaryzacja'!$D$6,319,0)=""),"",OFFSET('Inwentaryzacja'!$D$6,319,0))</f>
      </c>
      <c r="F336" s="8">
        <f>IF(AND(ISNUMBER($D336),ISNUMBER($E336)),ROUND($D336*$E336,2),"")</f>
      </c>
    </row>
    <row r="337">
      <c r="A337" s="7">
        <f>IF(OR(OFFSET('Inwentaryzacja'!$A$6,320,0)&lt;&gt;"",LEN($D337)&gt;0,LEN($E337)&gt;0),COUNT($A$18:$A336)+1,"")</f>
      </c>
      <c r="B337" s="7">
        <f>IF(OFFSET('Inwentaryzacja'!$A$6,320,0)&lt;&gt;"",OFFSET('Inwentaryzacja'!$A$6,320,0),IF(AND(ISNUMBER($A336),COUNT($A337:$A$517)=0),"Spis zakończono na pozycji "&amp;$A336,""))</f>
      </c>
      <c r="C337" s="7">
        <f>IF(OR(OFFSET('Inwentaryzacja'!$A$6,320,0)="",OFFSET('Inwentaryzacja'!$B$6,320,0)=""),"",OFFSET('Inwentaryzacja'!$B$6,320,0))</f>
      </c>
      <c r="D337" s="7">
        <f>IF(OR(OFFSET('Inwentaryzacja'!$A$6,320,0)="",OFFSET('Inwentaryzacja'!$D$6,320,0)=""),"",OFFSET('Inwentaryzacja'!$D$6,320,0))</f>
      </c>
      <c r="F337" s="8">
        <f>IF(AND(ISNUMBER($D337),ISNUMBER($E337)),ROUND($D337*$E337,2),"")</f>
      </c>
    </row>
    <row r="338">
      <c r="A338" s="7">
        <f>IF(OR(OFFSET('Inwentaryzacja'!$A$6,321,0)&lt;&gt;"",LEN($D338)&gt;0,LEN($E338)&gt;0),COUNT($A$18:$A337)+1,"")</f>
      </c>
      <c r="B338" s="7">
        <f>IF(OFFSET('Inwentaryzacja'!$A$6,321,0)&lt;&gt;"",OFFSET('Inwentaryzacja'!$A$6,321,0),IF(AND(ISNUMBER($A337),COUNT($A338:$A$517)=0),"Spis zakończono na pozycji "&amp;$A337,""))</f>
      </c>
      <c r="C338" s="7">
        <f>IF(OR(OFFSET('Inwentaryzacja'!$A$6,321,0)="",OFFSET('Inwentaryzacja'!$B$6,321,0)=""),"",OFFSET('Inwentaryzacja'!$B$6,321,0))</f>
      </c>
      <c r="D338" s="7">
        <f>IF(OR(OFFSET('Inwentaryzacja'!$A$6,321,0)="",OFFSET('Inwentaryzacja'!$D$6,321,0)=""),"",OFFSET('Inwentaryzacja'!$D$6,321,0))</f>
      </c>
      <c r="F338" s="8">
        <f>IF(AND(ISNUMBER($D338),ISNUMBER($E338)),ROUND($D338*$E338,2),"")</f>
      </c>
    </row>
    <row r="339">
      <c r="A339" s="7">
        <f>IF(OR(OFFSET('Inwentaryzacja'!$A$6,322,0)&lt;&gt;"",LEN($D339)&gt;0,LEN($E339)&gt;0),COUNT($A$18:$A338)+1,"")</f>
      </c>
      <c r="B339" s="7">
        <f>IF(OFFSET('Inwentaryzacja'!$A$6,322,0)&lt;&gt;"",OFFSET('Inwentaryzacja'!$A$6,322,0),IF(AND(ISNUMBER($A338),COUNT($A339:$A$517)=0),"Spis zakończono na pozycji "&amp;$A338,""))</f>
      </c>
      <c r="C339" s="7">
        <f>IF(OR(OFFSET('Inwentaryzacja'!$A$6,322,0)="",OFFSET('Inwentaryzacja'!$B$6,322,0)=""),"",OFFSET('Inwentaryzacja'!$B$6,322,0))</f>
      </c>
      <c r="D339" s="7">
        <f>IF(OR(OFFSET('Inwentaryzacja'!$A$6,322,0)="",OFFSET('Inwentaryzacja'!$D$6,322,0)=""),"",OFFSET('Inwentaryzacja'!$D$6,322,0))</f>
      </c>
      <c r="F339" s="8">
        <f>IF(AND(ISNUMBER($D339),ISNUMBER($E339)),ROUND($D339*$E339,2),"")</f>
      </c>
    </row>
    <row r="340">
      <c r="A340" s="7">
        <f>IF(OR(OFFSET('Inwentaryzacja'!$A$6,323,0)&lt;&gt;"",LEN($D340)&gt;0,LEN($E340)&gt;0),COUNT($A$18:$A339)+1,"")</f>
      </c>
      <c r="B340" s="7">
        <f>IF(OFFSET('Inwentaryzacja'!$A$6,323,0)&lt;&gt;"",OFFSET('Inwentaryzacja'!$A$6,323,0),IF(AND(ISNUMBER($A339),COUNT($A340:$A$517)=0),"Spis zakończono na pozycji "&amp;$A339,""))</f>
      </c>
      <c r="C340" s="7">
        <f>IF(OR(OFFSET('Inwentaryzacja'!$A$6,323,0)="",OFFSET('Inwentaryzacja'!$B$6,323,0)=""),"",OFFSET('Inwentaryzacja'!$B$6,323,0))</f>
      </c>
      <c r="D340" s="7">
        <f>IF(OR(OFFSET('Inwentaryzacja'!$A$6,323,0)="",OFFSET('Inwentaryzacja'!$D$6,323,0)=""),"",OFFSET('Inwentaryzacja'!$D$6,323,0))</f>
      </c>
      <c r="F340" s="8">
        <f>IF(AND(ISNUMBER($D340),ISNUMBER($E340)),ROUND($D340*$E340,2),"")</f>
      </c>
    </row>
    <row r="341">
      <c r="A341" s="7">
        <f>IF(OR(OFFSET('Inwentaryzacja'!$A$6,324,0)&lt;&gt;"",LEN($D341)&gt;0,LEN($E341)&gt;0),COUNT($A$18:$A340)+1,"")</f>
      </c>
      <c r="B341" s="7">
        <f>IF(OFFSET('Inwentaryzacja'!$A$6,324,0)&lt;&gt;"",OFFSET('Inwentaryzacja'!$A$6,324,0),IF(AND(ISNUMBER($A340),COUNT($A341:$A$517)=0),"Spis zakończono na pozycji "&amp;$A340,""))</f>
      </c>
      <c r="C341" s="7">
        <f>IF(OR(OFFSET('Inwentaryzacja'!$A$6,324,0)="",OFFSET('Inwentaryzacja'!$B$6,324,0)=""),"",OFFSET('Inwentaryzacja'!$B$6,324,0))</f>
      </c>
      <c r="D341" s="7">
        <f>IF(OR(OFFSET('Inwentaryzacja'!$A$6,324,0)="",OFFSET('Inwentaryzacja'!$D$6,324,0)=""),"",OFFSET('Inwentaryzacja'!$D$6,324,0))</f>
      </c>
      <c r="F341" s="8">
        <f>IF(AND(ISNUMBER($D341),ISNUMBER($E341)),ROUND($D341*$E341,2),"")</f>
      </c>
    </row>
    <row r="342">
      <c r="A342" s="7">
        <f>IF(OR(OFFSET('Inwentaryzacja'!$A$6,325,0)&lt;&gt;"",LEN($D342)&gt;0,LEN($E342)&gt;0),COUNT($A$18:$A341)+1,"")</f>
      </c>
      <c r="B342" s="7">
        <f>IF(OFFSET('Inwentaryzacja'!$A$6,325,0)&lt;&gt;"",OFFSET('Inwentaryzacja'!$A$6,325,0),IF(AND(ISNUMBER($A341),COUNT($A342:$A$517)=0),"Spis zakończono na pozycji "&amp;$A341,""))</f>
      </c>
      <c r="C342" s="7">
        <f>IF(OR(OFFSET('Inwentaryzacja'!$A$6,325,0)="",OFFSET('Inwentaryzacja'!$B$6,325,0)=""),"",OFFSET('Inwentaryzacja'!$B$6,325,0))</f>
      </c>
      <c r="D342" s="7">
        <f>IF(OR(OFFSET('Inwentaryzacja'!$A$6,325,0)="",OFFSET('Inwentaryzacja'!$D$6,325,0)=""),"",OFFSET('Inwentaryzacja'!$D$6,325,0))</f>
      </c>
      <c r="F342" s="8">
        <f>IF(AND(ISNUMBER($D342),ISNUMBER($E342)),ROUND($D342*$E342,2),"")</f>
      </c>
    </row>
    <row r="343">
      <c r="A343" s="7">
        <f>IF(OR(OFFSET('Inwentaryzacja'!$A$6,326,0)&lt;&gt;"",LEN($D343)&gt;0,LEN($E343)&gt;0),COUNT($A$18:$A342)+1,"")</f>
      </c>
      <c r="B343" s="7">
        <f>IF(OFFSET('Inwentaryzacja'!$A$6,326,0)&lt;&gt;"",OFFSET('Inwentaryzacja'!$A$6,326,0),IF(AND(ISNUMBER($A342),COUNT($A343:$A$517)=0),"Spis zakończono na pozycji "&amp;$A342,""))</f>
      </c>
      <c r="C343" s="7">
        <f>IF(OR(OFFSET('Inwentaryzacja'!$A$6,326,0)="",OFFSET('Inwentaryzacja'!$B$6,326,0)=""),"",OFFSET('Inwentaryzacja'!$B$6,326,0))</f>
      </c>
      <c r="D343" s="7">
        <f>IF(OR(OFFSET('Inwentaryzacja'!$A$6,326,0)="",OFFSET('Inwentaryzacja'!$D$6,326,0)=""),"",OFFSET('Inwentaryzacja'!$D$6,326,0))</f>
      </c>
      <c r="F343" s="8">
        <f>IF(AND(ISNUMBER($D343),ISNUMBER($E343)),ROUND($D343*$E343,2),"")</f>
      </c>
    </row>
    <row r="344">
      <c r="A344" s="7">
        <f>IF(OR(OFFSET('Inwentaryzacja'!$A$6,327,0)&lt;&gt;"",LEN($D344)&gt;0,LEN($E344)&gt;0),COUNT($A$18:$A343)+1,"")</f>
      </c>
      <c r="B344" s="7">
        <f>IF(OFFSET('Inwentaryzacja'!$A$6,327,0)&lt;&gt;"",OFFSET('Inwentaryzacja'!$A$6,327,0),IF(AND(ISNUMBER($A343),COUNT($A344:$A$517)=0),"Spis zakończono na pozycji "&amp;$A343,""))</f>
      </c>
      <c r="C344" s="7">
        <f>IF(OR(OFFSET('Inwentaryzacja'!$A$6,327,0)="",OFFSET('Inwentaryzacja'!$B$6,327,0)=""),"",OFFSET('Inwentaryzacja'!$B$6,327,0))</f>
      </c>
      <c r="D344" s="7">
        <f>IF(OR(OFFSET('Inwentaryzacja'!$A$6,327,0)="",OFFSET('Inwentaryzacja'!$D$6,327,0)=""),"",OFFSET('Inwentaryzacja'!$D$6,327,0))</f>
      </c>
      <c r="F344" s="8">
        <f>IF(AND(ISNUMBER($D344),ISNUMBER($E344)),ROUND($D344*$E344,2),"")</f>
      </c>
    </row>
    <row r="345">
      <c r="A345" s="7">
        <f>IF(OR(OFFSET('Inwentaryzacja'!$A$6,328,0)&lt;&gt;"",LEN($D345)&gt;0,LEN($E345)&gt;0),COUNT($A$18:$A344)+1,"")</f>
      </c>
      <c r="B345" s="7">
        <f>IF(OFFSET('Inwentaryzacja'!$A$6,328,0)&lt;&gt;"",OFFSET('Inwentaryzacja'!$A$6,328,0),IF(AND(ISNUMBER($A344),COUNT($A345:$A$517)=0),"Spis zakończono na pozycji "&amp;$A344,""))</f>
      </c>
      <c r="C345" s="7">
        <f>IF(OR(OFFSET('Inwentaryzacja'!$A$6,328,0)="",OFFSET('Inwentaryzacja'!$B$6,328,0)=""),"",OFFSET('Inwentaryzacja'!$B$6,328,0))</f>
      </c>
      <c r="D345" s="7">
        <f>IF(OR(OFFSET('Inwentaryzacja'!$A$6,328,0)="",OFFSET('Inwentaryzacja'!$D$6,328,0)=""),"",OFFSET('Inwentaryzacja'!$D$6,328,0))</f>
      </c>
      <c r="F345" s="8">
        <f>IF(AND(ISNUMBER($D345),ISNUMBER($E345)),ROUND($D345*$E345,2),"")</f>
      </c>
    </row>
    <row r="346">
      <c r="A346" s="7">
        <f>IF(OR(OFFSET('Inwentaryzacja'!$A$6,329,0)&lt;&gt;"",LEN($D346)&gt;0,LEN($E346)&gt;0),COUNT($A$18:$A345)+1,"")</f>
      </c>
      <c r="B346" s="7">
        <f>IF(OFFSET('Inwentaryzacja'!$A$6,329,0)&lt;&gt;"",OFFSET('Inwentaryzacja'!$A$6,329,0),IF(AND(ISNUMBER($A345),COUNT($A346:$A$517)=0),"Spis zakończono na pozycji "&amp;$A345,""))</f>
      </c>
      <c r="C346" s="7">
        <f>IF(OR(OFFSET('Inwentaryzacja'!$A$6,329,0)="",OFFSET('Inwentaryzacja'!$B$6,329,0)=""),"",OFFSET('Inwentaryzacja'!$B$6,329,0))</f>
      </c>
      <c r="D346" s="7">
        <f>IF(OR(OFFSET('Inwentaryzacja'!$A$6,329,0)="",OFFSET('Inwentaryzacja'!$D$6,329,0)=""),"",OFFSET('Inwentaryzacja'!$D$6,329,0))</f>
      </c>
      <c r="F346" s="8">
        <f>IF(AND(ISNUMBER($D346),ISNUMBER($E346)),ROUND($D346*$E346,2),"")</f>
      </c>
    </row>
    <row r="347">
      <c r="A347" s="7">
        <f>IF(OR(OFFSET('Inwentaryzacja'!$A$6,330,0)&lt;&gt;"",LEN($D347)&gt;0,LEN($E347)&gt;0),COUNT($A$18:$A346)+1,"")</f>
      </c>
      <c r="B347" s="7">
        <f>IF(OFFSET('Inwentaryzacja'!$A$6,330,0)&lt;&gt;"",OFFSET('Inwentaryzacja'!$A$6,330,0),IF(AND(ISNUMBER($A346),COUNT($A347:$A$517)=0),"Spis zakończono na pozycji "&amp;$A346,""))</f>
      </c>
      <c r="C347" s="7">
        <f>IF(OR(OFFSET('Inwentaryzacja'!$A$6,330,0)="",OFFSET('Inwentaryzacja'!$B$6,330,0)=""),"",OFFSET('Inwentaryzacja'!$B$6,330,0))</f>
      </c>
      <c r="D347" s="7">
        <f>IF(OR(OFFSET('Inwentaryzacja'!$A$6,330,0)="",OFFSET('Inwentaryzacja'!$D$6,330,0)=""),"",OFFSET('Inwentaryzacja'!$D$6,330,0))</f>
      </c>
      <c r="F347" s="8">
        <f>IF(AND(ISNUMBER($D347),ISNUMBER($E347)),ROUND($D347*$E347,2),"")</f>
      </c>
    </row>
    <row r="348">
      <c r="A348" s="7">
        <f>IF(OR(OFFSET('Inwentaryzacja'!$A$6,331,0)&lt;&gt;"",LEN($D348)&gt;0,LEN($E348)&gt;0),COUNT($A$18:$A347)+1,"")</f>
      </c>
      <c r="B348" s="7">
        <f>IF(OFFSET('Inwentaryzacja'!$A$6,331,0)&lt;&gt;"",OFFSET('Inwentaryzacja'!$A$6,331,0),IF(AND(ISNUMBER($A347),COUNT($A348:$A$517)=0),"Spis zakończono na pozycji "&amp;$A347,""))</f>
      </c>
      <c r="C348" s="7">
        <f>IF(OR(OFFSET('Inwentaryzacja'!$A$6,331,0)="",OFFSET('Inwentaryzacja'!$B$6,331,0)=""),"",OFFSET('Inwentaryzacja'!$B$6,331,0))</f>
      </c>
      <c r="D348" s="7">
        <f>IF(OR(OFFSET('Inwentaryzacja'!$A$6,331,0)="",OFFSET('Inwentaryzacja'!$D$6,331,0)=""),"",OFFSET('Inwentaryzacja'!$D$6,331,0))</f>
      </c>
      <c r="F348" s="8">
        <f>IF(AND(ISNUMBER($D348),ISNUMBER($E348)),ROUND($D348*$E348,2),"")</f>
      </c>
    </row>
    <row r="349">
      <c r="A349" s="7">
        <f>IF(OR(OFFSET('Inwentaryzacja'!$A$6,332,0)&lt;&gt;"",LEN($D349)&gt;0,LEN($E349)&gt;0),COUNT($A$18:$A348)+1,"")</f>
      </c>
      <c r="B349" s="7">
        <f>IF(OFFSET('Inwentaryzacja'!$A$6,332,0)&lt;&gt;"",OFFSET('Inwentaryzacja'!$A$6,332,0),IF(AND(ISNUMBER($A348),COUNT($A349:$A$517)=0),"Spis zakończono na pozycji "&amp;$A348,""))</f>
      </c>
      <c r="C349" s="7">
        <f>IF(OR(OFFSET('Inwentaryzacja'!$A$6,332,0)="",OFFSET('Inwentaryzacja'!$B$6,332,0)=""),"",OFFSET('Inwentaryzacja'!$B$6,332,0))</f>
      </c>
      <c r="D349" s="7">
        <f>IF(OR(OFFSET('Inwentaryzacja'!$A$6,332,0)="",OFFSET('Inwentaryzacja'!$D$6,332,0)=""),"",OFFSET('Inwentaryzacja'!$D$6,332,0))</f>
      </c>
      <c r="F349" s="8">
        <f>IF(AND(ISNUMBER($D349),ISNUMBER($E349)),ROUND($D349*$E349,2),"")</f>
      </c>
    </row>
    <row r="350">
      <c r="A350" s="7">
        <f>IF(OR(OFFSET('Inwentaryzacja'!$A$6,333,0)&lt;&gt;"",LEN($D350)&gt;0,LEN($E350)&gt;0),COUNT($A$18:$A349)+1,"")</f>
      </c>
      <c r="B350" s="7">
        <f>IF(OFFSET('Inwentaryzacja'!$A$6,333,0)&lt;&gt;"",OFFSET('Inwentaryzacja'!$A$6,333,0),IF(AND(ISNUMBER($A349),COUNT($A350:$A$517)=0),"Spis zakończono na pozycji "&amp;$A349,""))</f>
      </c>
      <c r="C350" s="7">
        <f>IF(OR(OFFSET('Inwentaryzacja'!$A$6,333,0)="",OFFSET('Inwentaryzacja'!$B$6,333,0)=""),"",OFFSET('Inwentaryzacja'!$B$6,333,0))</f>
      </c>
      <c r="D350" s="7">
        <f>IF(OR(OFFSET('Inwentaryzacja'!$A$6,333,0)="",OFFSET('Inwentaryzacja'!$D$6,333,0)=""),"",OFFSET('Inwentaryzacja'!$D$6,333,0))</f>
      </c>
      <c r="F350" s="8">
        <f>IF(AND(ISNUMBER($D350),ISNUMBER($E350)),ROUND($D350*$E350,2),"")</f>
      </c>
    </row>
    <row r="351">
      <c r="A351" s="7">
        <f>IF(OR(OFFSET('Inwentaryzacja'!$A$6,334,0)&lt;&gt;"",LEN($D351)&gt;0,LEN($E351)&gt;0),COUNT($A$18:$A350)+1,"")</f>
      </c>
      <c r="B351" s="7">
        <f>IF(OFFSET('Inwentaryzacja'!$A$6,334,0)&lt;&gt;"",OFFSET('Inwentaryzacja'!$A$6,334,0),IF(AND(ISNUMBER($A350),COUNT($A351:$A$517)=0),"Spis zakończono na pozycji "&amp;$A350,""))</f>
      </c>
      <c r="C351" s="7">
        <f>IF(OR(OFFSET('Inwentaryzacja'!$A$6,334,0)="",OFFSET('Inwentaryzacja'!$B$6,334,0)=""),"",OFFSET('Inwentaryzacja'!$B$6,334,0))</f>
      </c>
      <c r="D351" s="7">
        <f>IF(OR(OFFSET('Inwentaryzacja'!$A$6,334,0)="",OFFSET('Inwentaryzacja'!$D$6,334,0)=""),"",OFFSET('Inwentaryzacja'!$D$6,334,0))</f>
      </c>
      <c r="F351" s="8">
        <f>IF(AND(ISNUMBER($D351),ISNUMBER($E351)),ROUND($D351*$E351,2),"")</f>
      </c>
    </row>
    <row r="352">
      <c r="A352" s="7">
        <f>IF(OR(OFFSET('Inwentaryzacja'!$A$6,335,0)&lt;&gt;"",LEN($D352)&gt;0,LEN($E352)&gt;0),COUNT($A$18:$A351)+1,"")</f>
      </c>
      <c r="B352" s="7">
        <f>IF(OFFSET('Inwentaryzacja'!$A$6,335,0)&lt;&gt;"",OFFSET('Inwentaryzacja'!$A$6,335,0),IF(AND(ISNUMBER($A351),COUNT($A352:$A$517)=0),"Spis zakończono na pozycji "&amp;$A351,""))</f>
      </c>
      <c r="C352" s="7">
        <f>IF(OR(OFFSET('Inwentaryzacja'!$A$6,335,0)="",OFFSET('Inwentaryzacja'!$B$6,335,0)=""),"",OFFSET('Inwentaryzacja'!$B$6,335,0))</f>
      </c>
      <c r="D352" s="7">
        <f>IF(OR(OFFSET('Inwentaryzacja'!$A$6,335,0)="",OFFSET('Inwentaryzacja'!$D$6,335,0)=""),"",OFFSET('Inwentaryzacja'!$D$6,335,0))</f>
      </c>
      <c r="F352" s="8">
        <f>IF(AND(ISNUMBER($D352),ISNUMBER($E352)),ROUND($D352*$E352,2),"")</f>
      </c>
    </row>
    <row r="353">
      <c r="A353" s="7">
        <f>IF(OR(OFFSET('Inwentaryzacja'!$A$6,336,0)&lt;&gt;"",LEN($D353)&gt;0,LEN($E353)&gt;0),COUNT($A$18:$A352)+1,"")</f>
      </c>
      <c r="B353" s="7">
        <f>IF(OFFSET('Inwentaryzacja'!$A$6,336,0)&lt;&gt;"",OFFSET('Inwentaryzacja'!$A$6,336,0),IF(AND(ISNUMBER($A352),COUNT($A353:$A$517)=0),"Spis zakończono na pozycji "&amp;$A352,""))</f>
      </c>
      <c r="C353" s="7">
        <f>IF(OR(OFFSET('Inwentaryzacja'!$A$6,336,0)="",OFFSET('Inwentaryzacja'!$B$6,336,0)=""),"",OFFSET('Inwentaryzacja'!$B$6,336,0))</f>
      </c>
      <c r="D353" s="7">
        <f>IF(OR(OFFSET('Inwentaryzacja'!$A$6,336,0)="",OFFSET('Inwentaryzacja'!$D$6,336,0)=""),"",OFFSET('Inwentaryzacja'!$D$6,336,0))</f>
      </c>
      <c r="F353" s="8">
        <f>IF(AND(ISNUMBER($D353),ISNUMBER($E353)),ROUND($D353*$E353,2),"")</f>
      </c>
    </row>
    <row r="354">
      <c r="A354" s="7">
        <f>IF(OR(OFFSET('Inwentaryzacja'!$A$6,337,0)&lt;&gt;"",LEN($D354)&gt;0,LEN($E354)&gt;0),COUNT($A$18:$A353)+1,"")</f>
      </c>
      <c r="B354" s="7">
        <f>IF(OFFSET('Inwentaryzacja'!$A$6,337,0)&lt;&gt;"",OFFSET('Inwentaryzacja'!$A$6,337,0),IF(AND(ISNUMBER($A353),COUNT($A354:$A$517)=0),"Spis zakończono na pozycji "&amp;$A353,""))</f>
      </c>
      <c r="C354" s="7">
        <f>IF(OR(OFFSET('Inwentaryzacja'!$A$6,337,0)="",OFFSET('Inwentaryzacja'!$B$6,337,0)=""),"",OFFSET('Inwentaryzacja'!$B$6,337,0))</f>
      </c>
      <c r="D354" s="7">
        <f>IF(OR(OFFSET('Inwentaryzacja'!$A$6,337,0)="",OFFSET('Inwentaryzacja'!$D$6,337,0)=""),"",OFFSET('Inwentaryzacja'!$D$6,337,0))</f>
      </c>
      <c r="F354" s="8">
        <f>IF(AND(ISNUMBER($D354),ISNUMBER($E354)),ROUND($D354*$E354,2),"")</f>
      </c>
    </row>
    <row r="355">
      <c r="A355" s="7">
        <f>IF(OR(OFFSET('Inwentaryzacja'!$A$6,338,0)&lt;&gt;"",LEN($D355)&gt;0,LEN($E355)&gt;0),COUNT($A$18:$A354)+1,"")</f>
      </c>
      <c r="B355" s="7">
        <f>IF(OFFSET('Inwentaryzacja'!$A$6,338,0)&lt;&gt;"",OFFSET('Inwentaryzacja'!$A$6,338,0),IF(AND(ISNUMBER($A354),COUNT($A355:$A$517)=0),"Spis zakończono na pozycji "&amp;$A354,""))</f>
      </c>
      <c r="C355" s="7">
        <f>IF(OR(OFFSET('Inwentaryzacja'!$A$6,338,0)="",OFFSET('Inwentaryzacja'!$B$6,338,0)=""),"",OFFSET('Inwentaryzacja'!$B$6,338,0))</f>
      </c>
      <c r="D355" s="7">
        <f>IF(OR(OFFSET('Inwentaryzacja'!$A$6,338,0)="",OFFSET('Inwentaryzacja'!$D$6,338,0)=""),"",OFFSET('Inwentaryzacja'!$D$6,338,0))</f>
      </c>
      <c r="F355" s="8">
        <f>IF(AND(ISNUMBER($D355),ISNUMBER($E355)),ROUND($D355*$E355,2),"")</f>
      </c>
    </row>
    <row r="356">
      <c r="A356" s="7">
        <f>IF(OR(OFFSET('Inwentaryzacja'!$A$6,339,0)&lt;&gt;"",LEN($D356)&gt;0,LEN($E356)&gt;0),COUNT($A$18:$A355)+1,"")</f>
      </c>
      <c r="B356" s="7">
        <f>IF(OFFSET('Inwentaryzacja'!$A$6,339,0)&lt;&gt;"",OFFSET('Inwentaryzacja'!$A$6,339,0),IF(AND(ISNUMBER($A355),COUNT($A356:$A$517)=0),"Spis zakończono na pozycji "&amp;$A355,""))</f>
      </c>
      <c r="C356" s="7">
        <f>IF(OR(OFFSET('Inwentaryzacja'!$A$6,339,0)="",OFFSET('Inwentaryzacja'!$B$6,339,0)=""),"",OFFSET('Inwentaryzacja'!$B$6,339,0))</f>
      </c>
      <c r="D356" s="7">
        <f>IF(OR(OFFSET('Inwentaryzacja'!$A$6,339,0)="",OFFSET('Inwentaryzacja'!$D$6,339,0)=""),"",OFFSET('Inwentaryzacja'!$D$6,339,0))</f>
      </c>
      <c r="F356" s="8">
        <f>IF(AND(ISNUMBER($D356),ISNUMBER($E356)),ROUND($D356*$E356,2),"")</f>
      </c>
    </row>
    <row r="357">
      <c r="A357" s="7">
        <f>IF(OR(OFFSET('Inwentaryzacja'!$A$6,340,0)&lt;&gt;"",LEN($D357)&gt;0,LEN($E357)&gt;0),COUNT($A$18:$A356)+1,"")</f>
      </c>
      <c r="B357" s="7">
        <f>IF(OFFSET('Inwentaryzacja'!$A$6,340,0)&lt;&gt;"",OFFSET('Inwentaryzacja'!$A$6,340,0),IF(AND(ISNUMBER($A356),COUNT($A357:$A$517)=0),"Spis zakończono na pozycji "&amp;$A356,""))</f>
      </c>
      <c r="C357" s="7">
        <f>IF(OR(OFFSET('Inwentaryzacja'!$A$6,340,0)="",OFFSET('Inwentaryzacja'!$B$6,340,0)=""),"",OFFSET('Inwentaryzacja'!$B$6,340,0))</f>
      </c>
      <c r="D357" s="7">
        <f>IF(OR(OFFSET('Inwentaryzacja'!$A$6,340,0)="",OFFSET('Inwentaryzacja'!$D$6,340,0)=""),"",OFFSET('Inwentaryzacja'!$D$6,340,0))</f>
      </c>
      <c r="F357" s="8">
        <f>IF(AND(ISNUMBER($D357),ISNUMBER($E357)),ROUND($D357*$E357,2),"")</f>
      </c>
    </row>
    <row r="358">
      <c r="A358" s="7">
        <f>IF(OR(OFFSET('Inwentaryzacja'!$A$6,341,0)&lt;&gt;"",LEN($D358)&gt;0,LEN($E358)&gt;0),COUNT($A$18:$A357)+1,"")</f>
      </c>
      <c r="B358" s="7">
        <f>IF(OFFSET('Inwentaryzacja'!$A$6,341,0)&lt;&gt;"",OFFSET('Inwentaryzacja'!$A$6,341,0),IF(AND(ISNUMBER($A357),COUNT($A358:$A$517)=0),"Spis zakończono na pozycji "&amp;$A357,""))</f>
      </c>
      <c r="C358" s="7">
        <f>IF(OR(OFFSET('Inwentaryzacja'!$A$6,341,0)="",OFFSET('Inwentaryzacja'!$B$6,341,0)=""),"",OFFSET('Inwentaryzacja'!$B$6,341,0))</f>
      </c>
      <c r="D358" s="7">
        <f>IF(OR(OFFSET('Inwentaryzacja'!$A$6,341,0)="",OFFSET('Inwentaryzacja'!$D$6,341,0)=""),"",OFFSET('Inwentaryzacja'!$D$6,341,0))</f>
      </c>
      <c r="F358" s="8">
        <f>IF(AND(ISNUMBER($D358),ISNUMBER($E358)),ROUND($D358*$E358,2),"")</f>
      </c>
    </row>
    <row r="359">
      <c r="A359" s="7">
        <f>IF(OR(OFFSET('Inwentaryzacja'!$A$6,342,0)&lt;&gt;"",LEN($D359)&gt;0,LEN($E359)&gt;0),COUNT($A$18:$A358)+1,"")</f>
      </c>
      <c r="B359" s="7">
        <f>IF(OFFSET('Inwentaryzacja'!$A$6,342,0)&lt;&gt;"",OFFSET('Inwentaryzacja'!$A$6,342,0),IF(AND(ISNUMBER($A358),COUNT($A359:$A$517)=0),"Spis zakończono na pozycji "&amp;$A358,""))</f>
      </c>
      <c r="C359" s="7">
        <f>IF(OR(OFFSET('Inwentaryzacja'!$A$6,342,0)="",OFFSET('Inwentaryzacja'!$B$6,342,0)=""),"",OFFSET('Inwentaryzacja'!$B$6,342,0))</f>
      </c>
      <c r="D359" s="7">
        <f>IF(OR(OFFSET('Inwentaryzacja'!$A$6,342,0)="",OFFSET('Inwentaryzacja'!$D$6,342,0)=""),"",OFFSET('Inwentaryzacja'!$D$6,342,0))</f>
      </c>
      <c r="F359" s="8">
        <f>IF(AND(ISNUMBER($D359),ISNUMBER($E359)),ROUND($D359*$E359,2),"")</f>
      </c>
    </row>
    <row r="360">
      <c r="A360" s="7">
        <f>IF(OR(OFFSET('Inwentaryzacja'!$A$6,343,0)&lt;&gt;"",LEN($D360)&gt;0,LEN($E360)&gt;0),COUNT($A$18:$A359)+1,"")</f>
      </c>
      <c r="B360" s="7">
        <f>IF(OFFSET('Inwentaryzacja'!$A$6,343,0)&lt;&gt;"",OFFSET('Inwentaryzacja'!$A$6,343,0),IF(AND(ISNUMBER($A359),COUNT($A360:$A$517)=0),"Spis zakończono na pozycji "&amp;$A359,""))</f>
      </c>
      <c r="C360" s="7">
        <f>IF(OR(OFFSET('Inwentaryzacja'!$A$6,343,0)="",OFFSET('Inwentaryzacja'!$B$6,343,0)=""),"",OFFSET('Inwentaryzacja'!$B$6,343,0))</f>
      </c>
      <c r="D360" s="7">
        <f>IF(OR(OFFSET('Inwentaryzacja'!$A$6,343,0)="",OFFSET('Inwentaryzacja'!$D$6,343,0)=""),"",OFFSET('Inwentaryzacja'!$D$6,343,0))</f>
      </c>
      <c r="F360" s="8">
        <f>IF(AND(ISNUMBER($D360),ISNUMBER($E360)),ROUND($D360*$E360,2),"")</f>
      </c>
    </row>
    <row r="361">
      <c r="A361" s="7">
        <f>IF(OR(OFFSET('Inwentaryzacja'!$A$6,344,0)&lt;&gt;"",LEN($D361)&gt;0,LEN($E361)&gt;0),COUNT($A$18:$A360)+1,"")</f>
      </c>
      <c r="B361" s="7">
        <f>IF(OFFSET('Inwentaryzacja'!$A$6,344,0)&lt;&gt;"",OFFSET('Inwentaryzacja'!$A$6,344,0),IF(AND(ISNUMBER($A360),COUNT($A361:$A$517)=0),"Spis zakończono na pozycji "&amp;$A360,""))</f>
      </c>
      <c r="C361" s="7">
        <f>IF(OR(OFFSET('Inwentaryzacja'!$A$6,344,0)="",OFFSET('Inwentaryzacja'!$B$6,344,0)=""),"",OFFSET('Inwentaryzacja'!$B$6,344,0))</f>
      </c>
      <c r="D361" s="7">
        <f>IF(OR(OFFSET('Inwentaryzacja'!$A$6,344,0)="",OFFSET('Inwentaryzacja'!$D$6,344,0)=""),"",OFFSET('Inwentaryzacja'!$D$6,344,0))</f>
      </c>
      <c r="F361" s="8">
        <f>IF(AND(ISNUMBER($D361),ISNUMBER($E361)),ROUND($D361*$E361,2),"")</f>
      </c>
    </row>
    <row r="362">
      <c r="A362" s="7">
        <f>IF(OR(OFFSET('Inwentaryzacja'!$A$6,345,0)&lt;&gt;"",LEN($D362)&gt;0,LEN($E362)&gt;0),COUNT($A$18:$A361)+1,"")</f>
      </c>
      <c r="B362" s="7">
        <f>IF(OFFSET('Inwentaryzacja'!$A$6,345,0)&lt;&gt;"",OFFSET('Inwentaryzacja'!$A$6,345,0),IF(AND(ISNUMBER($A361),COUNT($A362:$A$517)=0),"Spis zakończono na pozycji "&amp;$A361,""))</f>
      </c>
      <c r="C362" s="7">
        <f>IF(OR(OFFSET('Inwentaryzacja'!$A$6,345,0)="",OFFSET('Inwentaryzacja'!$B$6,345,0)=""),"",OFFSET('Inwentaryzacja'!$B$6,345,0))</f>
      </c>
      <c r="D362" s="7">
        <f>IF(OR(OFFSET('Inwentaryzacja'!$A$6,345,0)="",OFFSET('Inwentaryzacja'!$D$6,345,0)=""),"",OFFSET('Inwentaryzacja'!$D$6,345,0))</f>
      </c>
      <c r="F362" s="8">
        <f>IF(AND(ISNUMBER($D362),ISNUMBER($E362)),ROUND($D362*$E362,2),"")</f>
      </c>
    </row>
    <row r="363">
      <c r="A363" s="7">
        <f>IF(OR(OFFSET('Inwentaryzacja'!$A$6,346,0)&lt;&gt;"",LEN($D363)&gt;0,LEN($E363)&gt;0),COUNT($A$18:$A362)+1,"")</f>
      </c>
      <c r="B363" s="7">
        <f>IF(OFFSET('Inwentaryzacja'!$A$6,346,0)&lt;&gt;"",OFFSET('Inwentaryzacja'!$A$6,346,0),IF(AND(ISNUMBER($A362),COUNT($A363:$A$517)=0),"Spis zakończono na pozycji "&amp;$A362,""))</f>
      </c>
      <c r="C363" s="7">
        <f>IF(OR(OFFSET('Inwentaryzacja'!$A$6,346,0)="",OFFSET('Inwentaryzacja'!$B$6,346,0)=""),"",OFFSET('Inwentaryzacja'!$B$6,346,0))</f>
      </c>
      <c r="D363" s="7">
        <f>IF(OR(OFFSET('Inwentaryzacja'!$A$6,346,0)="",OFFSET('Inwentaryzacja'!$D$6,346,0)=""),"",OFFSET('Inwentaryzacja'!$D$6,346,0))</f>
      </c>
      <c r="F363" s="8">
        <f>IF(AND(ISNUMBER($D363),ISNUMBER($E363)),ROUND($D363*$E363,2),"")</f>
      </c>
    </row>
    <row r="364">
      <c r="A364" s="7">
        <f>IF(OR(OFFSET('Inwentaryzacja'!$A$6,347,0)&lt;&gt;"",LEN($D364)&gt;0,LEN($E364)&gt;0),COUNT($A$18:$A363)+1,"")</f>
      </c>
      <c r="B364" s="7">
        <f>IF(OFFSET('Inwentaryzacja'!$A$6,347,0)&lt;&gt;"",OFFSET('Inwentaryzacja'!$A$6,347,0),IF(AND(ISNUMBER($A363),COUNT($A364:$A$517)=0),"Spis zakończono na pozycji "&amp;$A363,""))</f>
      </c>
      <c r="C364" s="7">
        <f>IF(OR(OFFSET('Inwentaryzacja'!$A$6,347,0)="",OFFSET('Inwentaryzacja'!$B$6,347,0)=""),"",OFFSET('Inwentaryzacja'!$B$6,347,0))</f>
      </c>
      <c r="D364" s="7">
        <f>IF(OR(OFFSET('Inwentaryzacja'!$A$6,347,0)="",OFFSET('Inwentaryzacja'!$D$6,347,0)=""),"",OFFSET('Inwentaryzacja'!$D$6,347,0))</f>
      </c>
      <c r="F364" s="8">
        <f>IF(AND(ISNUMBER($D364),ISNUMBER($E364)),ROUND($D364*$E364,2),"")</f>
      </c>
    </row>
    <row r="365">
      <c r="A365" s="7">
        <f>IF(OR(OFFSET('Inwentaryzacja'!$A$6,348,0)&lt;&gt;"",LEN($D365)&gt;0,LEN($E365)&gt;0),COUNT($A$18:$A364)+1,"")</f>
      </c>
      <c r="B365" s="7">
        <f>IF(OFFSET('Inwentaryzacja'!$A$6,348,0)&lt;&gt;"",OFFSET('Inwentaryzacja'!$A$6,348,0),IF(AND(ISNUMBER($A364),COUNT($A365:$A$517)=0),"Spis zakończono na pozycji "&amp;$A364,""))</f>
      </c>
      <c r="C365" s="7">
        <f>IF(OR(OFFSET('Inwentaryzacja'!$A$6,348,0)="",OFFSET('Inwentaryzacja'!$B$6,348,0)=""),"",OFFSET('Inwentaryzacja'!$B$6,348,0))</f>
      </c>
      <c r="D365" s="7">
        <f>IF(OR(OFFSET('Inwentaryzacja'!$A$6,348,0)="",OFFSET('Inwentaryzacja'!$D$6,348,0)=""),"",OFFSET('Inwentaryzacja'!$D$6,348,0))</f>
      </c>
      <c r="F365" s="8">
        <f>IF(AND(ISNUMBER($D365),ISNUMBER($E365)),ROUND($D365*$E365,2),"")</f>
      </c>
    </row>
    <row r="366">
      <c r="A366" s="7">
        <f>IF(OR(OFFSET('Inwentaryzacja'!$A$6,349,0)&lt;&gt;"",LEN($D366)&gt;0,LEN($E366)&gt;0),COUNT($A$18:$A365)+1,"")</f>
      </c>
      <c r="B366" s="7">
        <f>IF(OFFSET('Inwentaryzacja'!$A$6,349,0)&lt;&gt;"",OFFSET('Inwentaryzacja'!$A$6,349,0),IF(AND(ISNUMBER($A365),COUNT($A366:$A$517)=0),"Spis zakończono na pozycji "&amp;$A365,""))</f>
      </c>
      <c r="C366" s="7">
        <f>IF(OR(OFFSET('Inwentaryzacja'!$A$6,349,0)="",OFFSET('Inwentaryzacja'!$B$6,349,0)=""),"",OFFSET('Inwentaryzacja'!$B$6,349,0))</f>
      </c>
      <c r="D366" s="7">
        <f>IF(OR(OFFSET('Inwentaryzacja'!$A$6,349,0)="",OFFSET('Inwentaryzacja'!$D$6,349,0)=""),"",OFFSET('Inwentaryzacja'!$D$6,349,0))</f>
      </c>
      <c r="F366" s="8">
        <f>IF(AND(ISNUMBER($D366),ISNUMBER($E366)),ROUND($D366*$E366,2),"")</f>
      </c>
    </row>
    <row r="367">
      <c r="A367" s="7">
        <f>IF(OR(OFFSET('Inwentaryzacja'!$A$6,350,0)&lt;&gt;"",LEN($D367)&gt;0,LEN($E367)&gt;0),COUNT($A$18:$A366)+1,"")</f>
      </c>
      <c r="B367" s="7">
        <f>IF(OFFSET('Inwentaryzacja'!$A$6,350,0)&lt;&gt;"",OFFSET('Inwentaryzacja'!$A$6,350,0),IF(AND(ISNUMBER($A366),COUNT($A367:$A$517)=0),"Spis zakończono na pozycji "&amp;$A366,""))</f>
      </c>
      <c r="C367" s="7">
        <f>IF(OR(OFFSET('Inwentaryzacja'!$A$6,350,0)="",OFFSET('Inwentaryzacja'!$B$6,350,0)=""),"",OFFSET('Inwentaryzacja'!$B$6,350,0))</f>
      </c>
      <c r="D367" s="7">
        <f>IF(OR(OFFSET('Inwentaryzacja'!$A$6,350,0)="",OFFSET('Inwentaryzacja'!$D$6,350,0)=""),"",OFFSET('Inwentaryzacja'!$D$6,350,0))</f>
      </c>
      <c r="F367" s="8">
        <f>IF(AND(ISNUMBER($D367),ISNUMBER($E367)),ROUND($D367*$E367,2),"")</f>
      </c>
    </row>
    <row r="368">
      <c r="A368" s="7">
        <f>IF(OR(OFFSET('Inwentaryzacja'!$A$6,351,0)&lt;&gt;"",LEN($D368)&gt;0,LEN($E368)&gt;0),COUNT($A$18:$A367)+1,"")</f>
      </c>
      <c r="B368" s="7">
        <f>IF(OFFSET('Inwentaryzacja'!$A$6,351,0)&lt;&gt;"",OFFSET('Inwentaryzacja'!$A$6,351,0),IF(AND(ISNUMBER($A367),COUNT($A368:$A$517)=0),"Spis zakończono na pozycji "&amp;$A367,""))</f>
      </c>
      <c r="C368" s="7">
        <f>IF(OR(OFFSET('Inwentaryzacja'!$A$6,351,0)="",OFFSET('Inwentaryzacja'!$B$6,351,0)=""),"",OFFSET('Inwentaryzacja'!$B$6,351,0))</f>
      </c>
      <c r="D368" s="7">
        <f>IF(OR(OFFSET('Inwentaryzacja'!$A$6,351,0)="",OFFSET('Inwentaryzacja'!$D$6,351,0)=""),"",OFFSET('Inwentaryzacja'!$D$6,351,0))</f>
      </c>
      <c r="F368" s="8">
        <f>IF(AND(ISNUMBER($D368),ISNUMBER($E368)),ROUND($D368*$E368,2),"")</f>
      </c>
    </row>
    <row r="369">
      <c r="A369" s="7">
        <f>IF(OR(OFFSET('Inwentaryzacja'!$A$6,352,0)&lt;&gt;"",LEN($D369)&gt;0,LEN($E369)&gt;0),COUNT($A$18:$A368)+1,"")</f>
      </c>
      <c r="B369" s="7">
        <f>IF(OFFSET('Inwentaryzacja'!$A$6,352,0)&lt;&gt;"",OFFSET('Inwentaryzacja'!$A$6,352,0),IF(AND(ISNUMBER($A368),COUNT($A369:$A$517)=0),"Spis zakończono na pozycji "&amp;$A368,""))</f>
      </c>
      <c r="C369" s="7">
        <f>IF(OR(OFFSET('Inwentaryzacja'!$A$6,352,0)="",OFFSET('Inwentaryzacja'!$B$6,352,0)=""),"",OFFSET('Inwentaryzacja'!$B$6,352,0))</f>
      </c>
      <c r="D369" s="7">
        <f>IF(OR(OFFSET('Inwentaryzacja'!$A$6,352,0)="",OFFSET('Inwentaryzacja'!$D$6,352,0)=""),"",OFFSET('Inwentaryzacja'!$D$6,352,0))</f>
      </c>
      <c r="F369" s="8">
        <f>IF(AND(ISNUMBER($D369),ISNUMBER($E369)),ROUND($D369*$E369,2),"")</f>
      </c>
    </row>
    <row r="370">
      <c r="A370" s="7">
        <f>IF(OR(OFFSET('Inwentaryzacja'!$A$6,353,0)&lt;&gt;"",LEN($D370)&gt;0,LEN($E370)&gt;0),COUNT($A$18:$A369)+1,"")</f>
      </c>
      <c r="B370" s="7">
        <f>IF(OFFSET('Inwentaryzacja'!$A$6,353,0)&lt;&gt;"",OFFSET('Inwentaryzacja'!$A$6,353,0),IF(AND(ISNUMBER($A369),COUNT($A370:$A$517)=0),"Spis zakończono na pozycji "&amp;$A369,""))</f>
      </c>
      <c r="C370" s="7">
        <f>IF(OR(OFFSET('Inwentaryzacja'!$A$6,353,0)="",OFFSET('Inwentaryzacja'!$B$6,353,0)=""),"",OFFSET('Inwentaryzacja'!$B$6,353,0))</f>
      </c>
      <c r="D370" s="7">
        <f>IF(OR(OFFSET('Inwentaryzacja'!$A$6,353,0)="",OFFSET('Inwentaryzacja'!$D$6,353,0)=""),"",OFFSET('Inwentaryzacja'!$D$6,353,0))</f>
      </c>
      <c r="F370" s="8">
        <f>IF(AND(ISNUMBER($D370),ISNUMBER($E370)),ROUND($D370*$E370,2),"")</f>
      </c>
    </row>
    <row r="371">
      <c r="A371" s="7">
        <f>IF(OR(OFFSET('Inwentaryzacja'!$A$6,354,0)&lt;&gt;"",LEN($D371)&gt;0,LEN($E371)&gt;0),COUNT($A$18:$A370)+1,"")</f>
      </c>
      <c r="B371" s="7">
        <f>IF(OFFSET('Inwentaryzacja'!$A$6,354,0)&lt;&gt;"",OFFSET('Inwentaryzacja'!$A$6,354,0),IF(AND(ISNUMBER($A370),COUNT($A371:$A$517)=0),"Spis zakończono na pozycji "&amp;$A370,""))</f>
      </c>
      <c r="C371" s="7">
        <f>IF(OR(OFFSET('Inwentaryzacja'!$A$6,354,0)="",OFFSET('Inwentaryzacja'!$B$6,354,0)=""),"",OFFSET('Inwentaryzacja'!$B$6,354,0))</f>
      </c>
      <c r="D371" s="7">
        <f>IF(OR(OFFSET('Inwentaryzacja'!$A$6,354,0)="",OFFSET('Inwentaryzacja'!$D$6,354,0)=""),"",OFFSET('Inwentaryzacja'!$D$6,354,0))</f>
      </c>
      <c r="F371" s="8">
        <f>IF(AND(ISNUMBER($D371),ISNUMBER($E371)),ROUND($D371*$E371,2),"")</f>
      </c>
    </row>
    <row r="372">
      <c r="A372" s="7">
        <f>IF(OR(OFFSET('Inwentaryzacja'!$A$6,355,0)&lt;&gt;"",LEN($D372)&gt;0,LEN($E372)&gt;0),COUNT($A$18:$A371)+1,"")</f>
      </c>
      <c r="B372" s="7">
        <f>IF(OFFSET('Inwentaryzacja'!$A$6,355,0)&lt;&gt;"",OFFSET('Inwentaryzacja'!$A$6,355,0),IF(AND(ISNUMBER($A371),COUNT($A372:$A$517)=0),"Spis zakończono na pozycji "&amp;$A371,""))</f>
      </c>
      <c r="C372" s="7">
        <f>IF(OR(OFFSET('Inwentaryzacja'!$A$6,355,0)="",OFFSET('Inwentaryzacja'!$B$6,355,0)=""),"",OFFSET('Inwentaryzacja'!$B$6,355,0))</f>
      </c>
      <c r="D372" s="7">
        <f>IF(OR(OFFSET('Inwentaryzacja'!$A$6,355,0)="",OFFSET('Inwentaryzacja'!$D$6,355,0)=""),"",OFFSET('Inwentaryzacja'!$D$6,355,0))</f>
      </c>
      <c r="F372" s="8">
        <f>IF(AND(ISNUMBER($D372),ISNUMBER($E372)),ROUND($D372*$E372,2),"")</f>
      </c>
    </row>
    <row r="373">
      <c r="A373" s="7">
        <f>IF(OR(OFFSET('Inwentaryzacja'!$A$6,356,0)&lt;&gt;"",LEN($D373)&gt;0,LEN($E373)&gt;0),COUNT($A$18:$A372)+1,"")</f>
      </c>
      <c r="B373" s="7">
        <f>IF(OFFSET('Inwentaryzacja'!$A$6,356,0)&lt;&gt;"",OFFSET('Inwentaryzacja'!$A$6,356,0),IF(AND(ISNUMBER($A372),COUNT($A373:$A$517)=0),"Spis zakończono na pozycji "&amp;$A372,""))</f>
      </c>
      <c r="C373" s="7">
        <f>IF(OR(OFFSET('Inwentaryzacja'!$A$6,356,0)="",OFFSET('Inwentaryzacja'!$B$6,356,0)=""),"",OFFSET('Inwentaryzacja'!$B$6,356,0))</f>
      </c>
      <c r="D373" s="7">
        <f>IF(OR(OFFSET('Inwentaryzacja'!$A$6,356,0)="",OFFSET('Inwentaryzacja'!$D$6,356,0)=""),"",OFFSET('Inwentaryzacja'!$D$6,356,0))</f>
      </c>
      <c r="F373" s="8">
        <f>IF(AND(ISNUMBER($D373),ISNUMBER($E373)),ROUND($D373*$E373,2),"")</f>
      </c>
    </row>
    <row r="374">
      <c r="A374" s="7">
        <f>IF(OR(OFFSET('Inwentaryzacja'!$A$6,357,0)&lt;&gt;"",LEN($D374)&gt;0,LEN($E374)&gt;0),COUNT($A$18:$A373)+1,"")</f>
      </c>
      <c r="B374" s="7">
        <f>IF(OFFSET('Inwentaryzacja'!$A$6,357,0)&lt;&gt;"",OFFSET('Inwentaryzacja'!$A$6,357,0),IF(AND(ISNUMBER($A373),COUNT($A374:$A$517)=0),"Spis zakończono na pozycji "&amp;$A373,""))</f>
      </c>
      <c r="C374" s="7">
        <f>IF(OR(OFFSET('Inwentaryzacja'!$A$6,357,0)="",OFFSET('Inwentaryzacja'!$B$6,357,0)=""),"",OFFSET('Inwentaryzacja'!$B$6,357,0))</f>
      </c>
      <c r="D374" s="7">
        <f>IF(OR(OFFSET('Inwentaryzacja'!$A$6,357,0)="",OFFSET('Inwentaryzacja'!$D$6,357,0)=""),"",OFFSET('Inwentaryzacja'!$D$6,357,0))</f>
      </c>
      <c r="F374" s="8">
        <f>IF(AND(ISNUMBER($D374),ISNUMBER($E374)),ROUND($D374*$E374,2),"")</f>
      </c>
    </row>
    <row r="375">
      <c r="A375" s="7">
        <f>IF(OR(OFFSET('Inwentaryzacja'!$A$6,358,0)&lt;&gt;"",LEN($D375)&gt;0,LEN($E375)&gt;0),COUNT($A$18:$A374)+1,"")</f>
      </c>
      <c r="B375" s="7">
        <f>IF(OFFSET('Inwentaryzacja'!$A$6,358,0)&lt;&gt;"",OFFSET('Inwentaryzacja'!$A$6,358,0),IF(AND(ISNUMBER($A374),COUNT($A375:$A$517)=0),"Spis zakończono na pozycji "&amp;$A374,""))</f>
      </c>
      <c r="C375" s="7">
        <f>IF(OR(OFFSET('Inwentaryzacja'!$A$6,358,0)="",OFFSET('Inwentaryzacja'!$B$6,358,0)=""),"",OFFSET('Inwentaryzacja'!$B$6,358,0))</f>
      </c>
      <c r="D375" s="7">
        <f>IF(OR(OFFSET('Inwentaryzacja'!$A$6,358,0)="",OFFSET('Inwentaryzacja'!$D$6,358,0)=""),"",OFFSET('Inwentaryzacja'!$D$6,358,0))</f>
      </c>
      <c r="F375" s="8">
        <f>IF(AND(ISNUMBER($D375),ISNUMBER($E375)),ROUND($D375*$E375,2),"")</f>
      </c>
    </row>
    <row r="376">
      <c r="A376" s="7">
        <f>IF(OR(OFFSET('Inwentaryzacja'!$A$6,359,0)&lt;&gt;"",LEN($D376)&gt;0,LEN($E376)&gt;0),COUNT($A$18:$A375)+1,"")</f>
      </c>
      <c r="B376" s="7">
        <f>IF(OFFSET('Inwentaryzacja'!$A$6,359,0)&lt;&gt;"",OFFSET('Inwentaryzacja'!$A$6,359,0),IF(AND(ISNUMBER($A375),COUNT($A376:$A$517)=0),"Spis zakończono na pozycji "&amp;$A375,""))</f>
      </c>
      <c r="C376" s="7">
        <f>IF(OR(OFFSET('Inwentaryzacja'!$A$6,359,0)="",OFFSET('Inwentaryzacja'!$B$6,359,0)=""),"",OFFSET('Inwentaryzacja'!$B$6,359,0))</f>
      </c>
      <c r="D376" s="7">
        <f>IF(OR(OFFSET('Inwentaryzacja'!$A$6,359,0)="",OFFSET('Inwentaryzacja'!$D$6,359,0)=""),"",OFFSET('Inwentaryzacja'!$D$6,359,0))</f>
      </c>
      <c r="F376" s="8">
        <f>IF(AND(ISNUMBER($D376),ISNUMBER($E376)),ROUND($D376*$E376,2),"")</f>
      </c>
    </row>
    <row r="377">
      <c r="A377" s="7">
        <f>IF(OR(OFFSET('Inwentaryzacja'!$A$6,360,0)&lt;&gt;"",LEN($D377)&gt;0,LEN($E377)&gt;0),COUNT($A$18:$A376)+1,"")</f>
      </c>
      <c r="B377" s="7">
        <f>IF(OFFSET('Inwentaryzacja'!$A$6,360,0)&lt;&gt;"",OFFSET('Inwentaryzacja'!$A$6,360,0),IF(AND(ISNUMBER($A376),COUNT($A377:$A$517)=0),"Spis zakończono na pozycji "&amp;$A376,""))</f>
      </c>
      <c r="C377" s="7">
        <f>IF(OR(OFFSET('Inwentaryzacja'!$A$6,360,0)="",OFFSET('Inwentaryzacja'!$B$6,360,0)=""),"",OFFSET('Inwentaryzacja'!$B$6,360,0))</f>
      </c>
      <c r="D377" s="7">
        <f>IF(OR(OFFSET('Inwentaryzacja'!$A$6,360,0)="",OFFSET('Inwentaryzacja'!$D$6,360,0)=""),"",OFFSET('Inwentaryzacja'!$D$6,360,0))</f>
      </c>
      <c r="F377" s="8">
        <f>IF(AND(ISNUMBER($D377),ISNUMBER($E377)),ROUND($D377*$E377,2),"")</f>
      </c>
    </row>
    <row r="378">
      <c r="A378" s="7">
        <f>IF(OR(OFFSET('Inwentaryzacja'!$A$6,361,0)&lt;&gt;"",LEN($D378)&gt;0,LEN($E378)&gt;0),COUNT($A$18:$A377)+1,"")</f>
      </c>
      <c r="B378" s="7">
        <f>IF(OFFSET('Inwentaryzacja'!$A$6,361,0)&lt;&gt;"",OFFSET('Inwentaryzacja'!$A$6,361,0),IF(AND(ISNUMBER($A377),COUNT($A378:$A$517)=0),"Spis zakończono na pozycji "&amp;$A377,""))</f>
      </c>
      <c r="C378" s="7">
        <f>IF(OR(OFFSET('Inwentaryzacja'!$A$6,361,0)="",OFFSET('Inwentaryzacja'!$B$6,361,0)=""),"",OFFSET('Inwentaryzacja'!$B$6,361,0))</f>
      </c>
      <c r="D378" s="7">
        <f>IF(OR(OFFSET('Inwentaryzacja'!$A$6,361,0)="",OFFSET('Inwentaryzacja'!$D$6,361,0)=""),"",OFFSET('Inwentaryzacja'!$D$6,361,0))</f>
      </c>
      <c r="F378" s="8">
        <f>IF(AND(ISNUMBER($D378),ISNUMBER($E378)),ROUND($D378*$E378,2),"")</f>
      </c>
    </row>
    <row r="379">
      <c r="A379" s="7">
        <f>IF(OR(OFFSET('Inwentaryzacja'!$A$6,362,0)&lt;&gt;"",LEN($D379)&gt;0,LEN($E379)&gt;0),COUNT($A$18:$A378)+1,"")</f>
      </c>
      <c r="B379" s="7">
        <f>IF(OFFSET('Inwentaryzacja'!$A$6,362,0)&lt;&gt;"",OFFSET('Inwentaryzacja'!$A$6,362,0),IF(AND(ISNUMBER($A378),COUNT($A379:$A$517)=0),"Spis zakończono na pozycji "&amp;$A378,""))</f>
      </c>
      <c r="C379" s="7">
        <f>IF(OR(OFFSET('Inwentaryzacja'!$A$6,362,0)="",OFFSET('Inwentaryzacja'!$B$6,362,0)=""),"",OFFSET('Inwentaryzacja'!$B$6,362,0))</f>
      </c>
      <c r="D379" s="7">
        <f>IF(OR(OFFSET('Inwentaryzacja'!$A$6,362,0)="",OFFSET('Inwentaryzacja'!$D$6,362,0)=""),"",OFFSET('Inwentaryzacja'!$D$6,362,0))</f>
      </c>
      <c r="F379" s="8">
        <f>IF(AND(ISNUMBER($D379),ISNUMBER($E379)),ROUND($D379*$E379,2),"")</f>
      </c>
    </row>
    <row r="380">
      <c r="A380" s="7">
        <f>IF(OR(OFFSET('Inwentaryzacja'!$A$6,363,0)&lt;&gt;"",LEN($D380)&gt;0,LEN($E380)&gt;0),COUNT($A$18:$A379)+1,"")</f>
      </c>
      <c r="B380" s="7">
        <f>IF(OFFSET('Inwentaryzacja'!$A$6,363,0)&lt;&gt;"",OFFSET('Inwentaryzacja'!$A$6,363,0),IF(AND(ISNUMBER($A379),COUNT($A380:$A$517)=0),"Spis zakończono na pozycji "&amp;$A379,""))</f>
      </c>
      <c r="C380" s="7">
        <f>IF(OR(OFFSET('Inwentaryzacja'!$A$6,363,0)="",OFFSET('Inwentaryzacja'!$B$6,363,0)=""),"",OFFSET('Inwentaryzacja'!$B$6,363,0))</f>
      </c>
      <c r="D380" s="7">
        <f>IF(OR(OFFSET('Inwentaryzacja'!$A$6,363,0)="",OFFSET('Inwentaryzacja'!$D$6,363,0)=""),"",OFFSET('Inwentaryzacja'!$D$6,363,0))</f>
      </c>
      <c r="F380" s="8">
        <f>IF(AND(ISNUMBER($D380),ISNUMBER($E380)),ROUND($D380*$E380,2),"")</f>
      </c>
    </row>
    <row r="381">
      <c r="A381" s="7">
        <f>IF(OR(OFFSET('Inwentaryzacja'!$A$6,364,0)&lt;&gt;"",LEN($D381)&gt;0,LEN($E381)&gt;0),COUNT($A$18:$A380)+1,"")</f>
      </c>
      <c r="B381" s="7">
        <f>IF(OFFSET('Inwentaryzacja'!$A$6,364,0)&lt;&gt;"",OFFSET('Inwentaryzacja'!$A$6,364,0),IF(AND(ISNUMBER($A380),COUNT($A381:$A$517)=0),"Spis zakończono na pozycji "&amp;$A380,""))</f>
      </c>
      <c r="C381" s="7">
        <f>IF(OR(OFFSET('Inwentaryzacja'!$A$6,364,0)="",OFFSET('Inwentaryzacja'!$B$6,364,0)=""),"",OFFSET('Inwentaryzacja'!$B$6,364,0))</f>
      </c>
      <c r="D381" s="7">
        <f>IF(OR(OFFSET('Inwentaryzacja'!$A$6,364,0)="",OFFSET('Inwentaryzacja'!$D$6,364,0)=""),"",OFFSET('Inwentaryzacja'!$D$6,364,0))</f>
      </c>
      <c r="F381" s="8">
        <f>IF(AND(ISNUMBER($D381),ISNUMBER($E381)),ROUND($D381*$E381,2),"")</f>
      </c>
    </row>
    <row r="382">
      <c r="A382" s="7">
        <f>IF(OR(OFFSET('Inwentaryzacja'!$A$6,365,0)&lt;&gt;"",LEN($D382)&gt;0,LEN($E382)&gt;0),COUNT($A$18:$A381)+1,"")</f>
      </c>
      <c r="B382" s="7">
        <f>IF(OFFSET('Inwentaryzacja'!$A$6,365,0)&lt;&gt;"",OFFSET('Inwentaryzacja'!$A$6,365,0),IF(AND(ISNUMBER($A381),COUNT($A382:$A$517)=0),"Spis zakończono na pozycji "&amp;$A381,""))</f>
      </c>
      <c r="C382" s="7">
        <f>IF(OR(OFFSET('Inwentaryzacja'!$A$6,365,0)="",OFFSET('Inwentaryzacja'!$B$6,365,0)=""),"",OFFSET('Inwentaryzacja'!$B$6,365,0))</f>
      </c>
      <c r="D382" s="7">
        <f>IF(OR(OFFSET('Inwentaryzacja'!$A$6,365,0)="",OFFSET('Inwentaryzacja'!$D$6,365,0)=""),"",OFFSET('Inwentaryzacja'!$D$6,365,0))</f>
      </c>
      <c r="F382" s="8">
        <f>IF(AND(ISNUMBER($D382),ISNUMBER($E382)),ROUND($D382*$E382,2),"")</f>
      </c>
    </row>
    <row r="383">
      <c r="A383" s="7">
        <f>IF(OR(OFFSET('Inwentaryzacja'!$A$6,366,0)&lt;&gt;"",LEN($D383)&gt;0,LEN($E383)&gt;0),COUNT($A$18:$A382)+1,"")</f>
      </c>
      <c r="B383" s="7">
        <f>IF(OFFSET('Inwentaryzacja'!$A$6,366,0)&lt;&gt;"",OFFSET('Inwentaryzacja'!$A$6,366,0),IF(AND(ISNUMBER($A382),COUNT($A383:$A$517)=0),"Spis zakończono na pozycji "&amp;$A382,""))</f>
      </c>
      <c r="C383" s="7">
        <f>IF(OR(OFFSET('Inwentaryzacja'!$A$6,366,0)="",OFFSET('Inwentaryzacja'!$B$6,366,0)=""),"",OFFSET('Inwentaryzacja'!$B$6,366,0))</f>
      </c>
      <c r="D383" s="7">
        <f>IF(OR(OFFSET('Inwentaryzacja'!$A$6,366,0)="",OFFSET('Inwentaryzacja'!$D$6,366,0)=""),"",OFFSET('Inwentaryzacja'!$D$6,366,0))</f>
      </c>
      <c r="F383" s="8">
        <f>IF(AND(ISNUMBER($D383),ISNUMBER($E383)),ROUND($D383*$E383,2),"")</f>
      </c>
    </row>
    <row r="384">
      <c r="A384" s="7">
        <f>IF(OR(OFFSET('Inwentaryzacja'!$A$6,367,0)&lt;&gt;"",LEN($D384)&gt;0,LEN($E384)&gt;0),COUNT($A$18:$A383)+1,"")</f>
      </c>
      <c r="B384" s="7">
        <f>IF(OFFSET('Inwentaryzacja'!$A$6,367,0)&lt;&gt;"",OFFSET('Inwentaryzacja'!$A$6,367,0),IF(AND(ISNUMBER($A383),COUNT($A384:$A$517)=0),"Spis zakończono na pozycji "&amp;$A383,""))</f>
      </c>
      <c r="C384" s="7">
        <f>IF(OR(OFFSET('Inwentaryzacja'!$A$6,367,0)="",OFFSET('Inwentaryzacja'!$B$6,367,0)=""),"",OFFSET('Inwentaryzacja'!$B$6,367,0))</f>
      </c>
      <c r="D384" s="7">
        <f>IF(OR(OFFSET('Inwentaryzacja'!$A$6,367,0)="",OFFSET('Inwentaryzacja'!$D$6,367,0)=""),"",OFFSET('Inwentaryzacja'!$D$6,367,0))</f>
      </c>
      <c r="F384" s="8">
        <f>IF(AND(ISNUMBER($D384),ISNUMBER($E384)),ROUND($D384*$E384,2),"")</f>
      </c>
    </row>
    <row r="385">
      <c r="A385" s="7">
        <f>IF(OR(OFFSET('Inwentaryzacja'!$A$6,368,0)&lt;&gt;"",LEN($D385)&gt;0,LEN($E385)&gt;0),COUNT($A$18:$A384)+1,"")</f>
      </c>
      <c r="B385" s="7">
        <f>IF(OFFSET('Inwentaryzacja'!$A$6,368,0)&lt;&gt;"",OFFSET('Inwentaryzacja'!$A$6,368,0),IF(AND(ISNUMBER($A384),COUNT($A385:$A$517)=0),"Spis zakończono na pozycji "&amp;$A384,""))</f>
      </c>
      <c r="C385" s="7">
        <f>IF(OR(OFFSET('Inwentaryzacja'!$A$6,368,0)="",OFFSET('Inwentaryzacja'!$B$6,368,0)=""),"",OFFSET('Inwentaryzacja'!$B$6,368,0))</f>
      </c>
      <c r="D385" s="7">
        <f>IF(OR(OFFSET('Inwentaryzacja'!$A$6,368,0)="",OFFSET('Inwentaryzacja'!$D$6,368,0)=""),"",OFFSET('Inwentaryzacja'!$D$6,368,0))</f>
      </c>
      <c r="F385" s="8">
        <f>IF(AND(ISNUMBER($D385),ISNUMBER($E385)),ROUND($D385*$E385,2),"")</f>
      </c>
    </row>
    <row r="386">
      <c r="A386" s="7">
        <f>IF(OR(OFFSET('Inwentaryzacja'!$A$6,369,0)&lt;&gt;"",LEN($D386)&gt;0,LEN($E386)&gt;0),COUNT($A$18:$A385)+1,"")</f>
      </c>
      <c r="B386" s="7">
        <f>IF(OFFSET('Inwentaryzacja'!$A$6,369,0)&lt;&gt;"",OFFSET('Inwentaryzacja'!$A$6,369,0),IF(AND(ISNUMBER($A385),COUNT($A386:$A$517)=0),"Spis zakończono na pozycji "&amp;$A385,""))</f>
      </c>
      <c r="C386" s="7">
        <f>IF(OR(OFFSET('Inwentaryzacja'!$A$6,369,0)="",OFFSET('Inwentaryzacja'!$B$6,369,0)=""),"",OFFSET('Inwentaryzacja'!$B$6,369,0))</f>
      </c>
      <c r="D386" s="7">
        <f>IF(OR(OFFSET('Inwentaryzacja'!$A$6,369,0)="",OFFSET('Inwentaryzacja'!$D$6,369,0)=""),"",OFFSET('Inwentaryzacja'!$D$6,369,0))</f>
      </c>
      <c r="F386" s="8">
        <f>IF(AND(ISNUMBER($D386),ISNUMBER($E386)),ROUND($D386*$E386,2),"")</f>
      </c>
    </row>
    <row r="387">
      <c r="A387" s="7">
        <f>IF(OR(OFFSET('Inwentaryzacja'!$A$6,370,0)&lt;&gt;"",LEN($D387)&gt;0,LEN($E387)&gt;0),COUNT($A$18:$A386)+1,"")</f>
      </c>
      <c r="B387" s="7">
        <f>IF(OFFSET('Inwentaryzacja'!$A$6,370,0)&lt;&gt;"",OFFSET('Inwentaryzacja'!$A$6,370,0),IF(AND(ISNUMBER($A386),COUNT($A387:$A$517)=0),"Spis zakończono na pozycji "&amp;$A386,""))</f>
      </c>
      <c r="C387" s="7">
        <f>IF(OR(OFFSET('Inwentaryzacja'!$A$6,370,0)="",OFFSET('Inwentaryzacja'!$B$6,370,0)=""),"",OFFSET('Inwentaryzacja'!$B$6,370,0))</f>
      </c>
      <c r="D387" s="7">
        <f>IF(OR(OFFSET('Inwentaryzacja'!$A$6,370,0)="",OFFSET('Inwentaryzacja'!$D$6,370,0)=""),"",OFFSET('Inwentaryzacja'!$D$6,370,0))</f>
      </c>
      <c r="F387" s="8">
        <f>IF(AND(ISNUMBER($D387),ISNUMBER($E387)),ROUND($D387*$E387,2),"")</f>
      </c>
    </row>
    <row r="388">
      <c r="A388" s="7">
        <f>IF(OR(OFFSET('Inwentaryzacja'!$A$6,371,0)&lt;&gt;"",LEN($D388)&gt;0,LEN($E388)&gt;0),COUNT($A$18:$A387)+1,"")</f>
      </c>
      <c r="B388" s="7">
        <f>IF(OFFSET('Inwentaryzacja'!$A$6,371,0)&lt;&gt;"",OFFSET('Inwentaryzacja'!$A$6,371,0),IF(AND(ISNUMBER($A387),COUNT($A388:$A$517)=0),"Spis zakończono na pozycji "&amp;$A387,""))</f>
      </c>
      <c r="C388" s="7">
        <f>IF(OR(OFFSET('Inwentaryzacja'!$A$6,371,0)="",OFFSET('Inwentaryzacja'!$B$6,371,0)=""),"",OFFSET('Inwentaryzacja'!$B$6,371,0))</f>
      </c>
      <c r="D388" s="7">
        <f>IF(OR(OFFSET('Inwentaryzacja'!$A$6,371,0)="",OFFSET('Inwentaryzacja'!$D$6,371,0)=""),"",OFFSET('Inwentaryzacja'!$D$6,371,0))</f>
      </c>
      <c r="F388" s="8">
        <f>IF(AND(ISNUMBER($D388),ISNUMBER($E388)),ROUND($D388*$E388,2),"")</f>
      </c>
    </row>
    <row r="389">
      <c r="A389" s="7">
        <f>IF(OR(OFFSET('Inwentaryzacja'!$A$6,372,0)&lt;&gt;"",LEN($D389)&gt;0,LEN($E389)&gt;0),COUNT($A$18:$A388)+1,"")</f>
      </c>
      <c r="B389" s="7">
        <f>IF(OFFSET('Inwentaryzacja'!$A$6,372,0)&lt;&gt;"",OFFSET('Inwentaryzacja'!$A$6,372,0),IF(AND(ISNUMBER($A388),COUNT($A389:$A$517)=0),"Spis zakończono na pozycji "&amp;$A388,""))</f>
      </c>
      <c r="C389" s="7">
        <f>IF(OR(OFFSET('Inwentaryzacja'!$A$6,372,0)="",OFFSET('Inwentaryzacja'!$B$6,372,0)=""),"",OFFSET('Inwentaryzacja'!$B$6,372,0))</f>
      </c>
      <c r="D389" s="7">
        <f>IF(OR(OFFSET('Inwentaryzacja'!$A$6,372,0)="",OFFSET('Inwentaryzacja'!$D$6,372,0)=""),"",OFFSET('Inwentaryzacja'!$D$6,372,0))</f>
      </c>
      <c r="F389" s="8">
        <f>IF(AND(ISNUMBER($D389),ISNUMBER($E389)),ROUND($D389*$E389,2),"")</f>
      </c>
    </row>
    <row r="390">
      <c r="A390" s="7">
        <f>IF(OR(OFFSET('Inwentaryzacja'!$A$6,373,0)&lt;&gt;"",LEN($D390)&gt;0,LEN($E390)&gt;0),COUNT($A$18:$A389)+1,"")</f>
      </c>
      <c r="B390" s="7">
        <f>IF(OFFSET('Inwentaryzacja'!$A$6,373,0)&lt;&gt;"",OFFSET('Inwentaryzacja'!$A$6,373,0),IF(AND(ISNUMBER($A389),COUNT($A390:$A$517)=0),"Spis zakończono na pozycji "&amp;$A389,""))</f>
      </c>
      <c r="C390" s="7">
        <f>IF(OR(OFFSET('Inwentaryzacja'!$A$6,373,0)="",OFFSET('Inwentaryzacja'!$B$6,373,0)=""),"",OFFSET('Inwentaryzacja'!$B$6,373,0))</f>
      </c>
      <c r="D390" s="7">
        <f>IF(OR(OFFSET('Inwentaryzacja'!$A$6,373,0)="",OFFSET('Inwentaryzacja'!$D$6,373,0)=""),"",OFFSET('Inwentaryzacja'!$D$6,373,0))</f>
      </c>
      <c r="F390" s="8">
        <f>IF(AND(ISNUMBER($D390),ISNUMBER($E390)),ROUND($D390*$E390,2),"")</f>
      </c>
    </row>
    <row r="391">
      <c r="A391" s="7">
        <f>IF(OR(OFFSET('Inwentaryzacja'!$A$6,374,0)&lt;&gt;"",LEN($D391)&gt;0,LEN($E391)&gt;0),COUNT($A$18:$A390)+1,"")</f>
      </c>
      <c r="B391" s="7">
        <f>IF(OFFSET('Inwentaryzacja'!$A$6,374,0)&lt;&gt;"",OFFSET('Inwentaryzacja'!$A$6,374,0),IF(AND(ISNUMBER($A390),COUNT($A391:$A$517)=0),"Spis zakończono na pozycji "&amp;$A390,""))</f>
      </c>
      <c r="C391" s="7">
        <f>IF(OR(OFFSET('Inwentaryzacja'!$A$6,374,0)="",OFFSET('Inwentaryzacja'!$B$6,374,0)=""),"",OFFSET('Inwentaryzacja'!$B$6,374,0))</f>
      </c>
      <c r="D391" s="7">
        <f>IF(OR(OFFSET('Inwentaryzacja'!$A$6,374,0)="",OFFSET('Inwentaryzacja'!$D$6,374,0)=""),"",OFFSET('Inwentaryzacja'!$D$6,374,0))</f>
      </c>
      <c r="F391" s="8">
        <f>IF(AND(ISNUMBER($D391),ISNUMBER($E391)),ROUND($D391*$E391,2),"")</f>
      </c>
    </row>
    <row r="392">
      <c r="A392" s="7">
        <f>IF(OR(OFFSET('Inwentaryzacja'!$A$6,375,0)&lt;&gt;"",LEN($D392)&gt;0,LEN($E392)&gt;0),COUNT($A$18:$A391)+1,"")</f>
      </c>
      <c r="B392" s="7">
        <f>IF(OFFSET('Inwentaryzacja'!$A$6,375,0)&lt;&gt;"",OFFSET('Inwentaryzacja'!$A$6,375,0),IF(AND(ISNUMBER($A391),COUNT($A392:$A$517)=0),"Spis zakończono na pozycji "&amp;$A391,""))</f>
      </c>
      <c r="C392" s="7">
        <f>IF(OR(OFFSET('Inwentaryzacja'!$A$6,375,0)="",OFFSET('Inwentaryzacja'!$B$6,375,0)=""),"",OFFSET('Inwentaryzacja'!$B$6,375,0))</f>
      </c>
      <c r="D392" s="7">
        <f>IF(OR(OFFSET('Inwentaryzacja'!$A$6,375,0)="",OFFSET('Inwentaryzacja'!$D$6,375,0)=""),"",OFFSET('Inwentaryzacja'!$D$6,375,0))</f>
      </c>
      <c r="F392" s="8">
        <f>IF(AND(ISNUMBER($D392),ISNUMBER($E392)),ROUND($D392*$E392,2),"")</f>
      </c>
    </row>
    <row r="393">
      <c r="A393" s="7">
        <f>IF(OR(OFFSET('Inwentaryzacja'!$A$6,376,0)&lt;&gt;"",LEN($D393)&gt;0,LEN($E393)&gt;0),COUNT($A$18:$A392)+1,"")</f>
      </c>
      <c r="B393" s="7">
        <f>IF(OFFSET('Inwentaryzacja'!$A$6,376,0)&lt;&gt;"",OFFSET('Inwentaryzacja'!$A$6,376,0),IF(AND(ISNUMBER($A392),COUNT($A393:$A$517)=0),"Spis zakończono na pozycji "&amp;$A392,""))</f>
      </c>
      <c r="C393" s="7">
        <f>IF(OR(OFFSET('Inwentaryzacja'!$A$6,376,0)="",OFFSET('Inwentaryzacja'!$B$6,376,0)=""),"",OFFSET('Inwentaryzacja'!$B$6,376,0))</f>
      </c>
      <c r="D393" s="7">
        <f>IF(OR(OFFSET('Inwentaryzacja'!$A$6,376,0)="",OFFSET('Inwentaryzacja'!$D$6,376,0)=""),"",OFFSET('Inwentaryzacja'!$D$6,376,0))</f>
      </c>
      <c r="F393" s="8">
        <f>IF(AND(ISNUMBER($D393),ISNUMBER($E393)),ROUND($D393*$E393,2),"")</f>
      </c>
    </row>
    <row r="394">
      <c r="A394" s="7">
        <f>IF(OR(OFFSET('Inwentaryzacja'!$A$6,377,0)&lt;&gt;"",LEN($D394)&gt;0,LEN($E394)&gt;0),COUNT($A$18:$A393)+1,"")</f>
      </c>
      <c r="B394" s="7">
        <f>IF(OFFSET('Inwentaryzacja'!$A$6,377,0)&lt;&gt;"",OFFSET('Inwentaryzacja'!$A$6,377,0),IF(AND(ISNUMBER($A393),COUNT($A394:$A$517)=0),"Spis zakończono na pozycji "&amp;$A393,""))</f>
      </c>
      <c r="C394" s="7">
        <f>IF(OR(OFFSET('Inwentaryzacja'!$A$6,377,0)="",OFFSET('Inwentaryzacja'!$B$6,377,0)=""),"",OFFSET('Inwentaryzacja'!$B$6,377,0))</f>
      </c>
      <c r="D394" s="7">
        <f>IF(OR(OFFSET('Inwentaryzacja'!$A$6,377,0)="",OFFSET('Inwentaryzacja'!$D$6,377,0)=""),"",OFFSET('Inwentaryzacja'!$D$6,377,0))</f>
      </c>
      <c r="F394" s="8">
        <f>IF(AND(ISNUMBER($D394),ISNUMBER($E394)),ROUND($D394*$E394,2),"")</f>
      </c>
    </row>
    <row r="395">
      <c r="A395" s="7">
        <f>IF(OR(OFFSET('Inwentaryzacja'!$A$6,378,0)&lt;&gt;"",LEN($D395)&gt;0,LEN($E395)&gt;0),COUNT($A$18:$A394)+1,"")</f>
      </c>
      <c r="B395" s="7">
        <f>IF(OFFSET('Inwentaryzacja'!$A$6,378,0)&lt;&gt;"",OFFSET('Inwentaryzacja'!$A$6,378,0),IF(AND(ISNUMBER($A394),COUNT($A395:$A$517)=0),"Spis zakończono na pozycji "&amp;$A394,""))</f>
      </c>
      <c r="C395" s="7">
        <f>IF(OR(OFFSET('Inwentaryzacja'!$A$6,378,0)="",OFFSET('Inwentaryzacja'!$B$6,378,0)=""),"",OFFSET('Inwentaryzacja'!$B$6,378,0))</f>
      </c>
      <c r="D395" s="7">
        <f>IF(OR(OFFSET('Inwentaryzacja'!$A$6,378,0)="",OFFSET('Inwentaryzacja'!$D$6,378,0)=""),"",OFFSET('Inwentaryzacja'!$D$6,378,0))</f>
      </c>
      <c r="F395" s="8">
        <f>IF(AND(ISNUMBER($D395),ISNUMBER($E395)),ROUND($D395*$E395,2),"")</f>
      </c>
    </row>
    <row r="396">
      <c r="A396" s="7">
        <f>IF(OR(OFFSET('Inwentaryzacja'!$A$6,379,0)&lt;&gt;"",LEN($D396)&gt;0,LEN($E396)&gt;0),COUNT($A$18:$A395)+1,"")</f>
      </c>
      <c r="B396" s="7">
        <f>IF(OFFSET('Inwentaryzacja'!$A$6,379,0)&lt;&gt;"",OFFSET('Inwentaryzacja'!$A$6,379,0),IF(AND(ISNUMBER($A395),COUNT($A396:$A$517)=0),"Spis zakończono na pozycji "&amp;$A395,""))</f>
      </c>
      <c r="C396" s="7">
        <f>IF(OR(OFFSET('Inwentaryzacja'!$A$6,379,0)="",OFFSET('Inwentaryzacja'!$B$6,379,0)=""),"",OFFSET('Inwentaryzacja'!$B$6,379,0))</f>
      </c>
      <c r="D396" s="7">
        <f>IF(OR(OFFSET('Inwentaryzacja'!$A$6,379,0)="",OFFSET('Inwentaryzacja'!$D$6,379,0)=""),"",OFFSET('Inwentaryzacja'!$D$6,379,0))</f>
      </c>
      <c r="F396" s="8">
        <f>IF(AND(ISNUMBER($D396),ISNUMBER($E396)),ROUND($D396*$E396,2),"")</f>
      </c>
    </row>
    <row r="397">
      <c r="A397" s="7">
        <f>IF(OR(OFFSET('Inwentaryzacja'!$A$6,380,0)&lt;&gt;"",LEN($D397)&gt;0,LEN($E397)&gt;0),COUNT($A$18:$A396)+1,"")</f>
      </c>
      <c r="B397" s="7">
        <f>IF(OFFSET('Inwentaryzacja'!$A$6,380,0)&lt;&gt;"",OFFSET('Inwentaryzacja'!$A$6,380,0),IF(AND(ISNUMBER($A396),COUNT($A397:$A$517)=0),"Spis zakończono na pozycji "&amp;$A396,""))</f>
      </c>
      <c r="C397" s="7">
        <f>IF(OR(OFFSET('Inwentaryzacja'!$A$6,380,0)="",OFFSET('Inwentaryzacja'!$B$6,380,0)=""),"",OFFSET('Inwentaryzacja'!$B$6,380,0))</f>
      </c>
      <c r="D397" s="7">
        <f>IF(OR(OFFSET('Inwentaryzacja'!$A$6,380,0)="",OFFSET('Inwentaryzacja'!$D$6,380,0)=""),"",OFFSET('Inwentaryzacja'!$D$6,380,0))</f>
      </c>
      <c r="F397" s="8">
        <f>IF(AND(ISNUMBER($D397),ISNUMBER($E397)),ROUND($D397*$E397,2),"")</f>
      </c>
    </row>
    <row r="398">
      <c r="A398" s="7">
        <f>IF(OR(OFFSET('Inwentaryzacja'!$A$6,381,0)&lt;&gt;"",LEN($D398)&gt;0,LEN($E398)&gt;0),COUNT($A$18:$A397)+1,"")</f>
      </c>
      <c r="B398" s="7">
        <f>IF(OFFSET('Inwentaryzacja'!$A$6,381,0)&lt;&gt;"",OFFSET('Inwentaryzacja'!$A$6,381,0),IF(AND(ISNUMBER($A397),COUNT($A398:$A$517)=0),"Spis zakończono na pozycji "&amp;$A397,""))</f>
      </c>
      <c r="C398" s="7">
        <f>IF(OR(OFFSET('Inwentaryzacja'!$A$6,381,0)="",OFFSET('Inwentaryzacja'!$B$6,381,0)=""),"",OFFSET('Inwentaryzacja'!$B$6,381,0))</f>
      </c>
      <c r="D398" s="7">
        <f>IF(OR(OFFSET('Inwentaryzacja'!$A$6,381,0)="",OFFSET('Inwentaryzacja'!$D$6,381,0)=""),"",OFFSET('Inwentaryzacja'!$D$6,381,0))</f>
      </c>
      <c r="F398" s="8">
        <f>IF(AND(ISNUMBER($D398),ISNUMBER($E398)),ROUND($D398*$E398,2),"")</f>
      </c>
    </row>
    <row r="399">
      <c r="A399" s="7">
        <f>IF(OR(OFFSET('Inwentaryzacja'!$A$6,382,0)&lt;&gt;"",LEN($D399)&gt;0,LEN($E399)&gt;0),COUNT($A$18:$A398)+1,"")</f>
      </c>
      <c r="B399" s="7">
        <f>IF(OFFSET('Inwentaryzacja'!$A$6,382,0)&lt;&gt;"",OFFSET('Inwentaryzacja'!$A$6,382,0),IF(AND(ISNUMBER($A398),COUNT($A399:$A$517)=0),"Spis zakończono na pozycji "&amp;$A398,""))</f>
      </c>
      <c r="C399" s="7">
        <f>IF(OR(OFFSET('Inwentaryzacja'!$A$6,382,0)="",OFFSET('Inwentaryzacja'!$B$6,382,0)=""),"",OFFSET('Inwentaryzacja'!$B$6,382,0))</f>
      </c>
      <c r="D399" s="7">
        <f>IF(OR(OFFSET('Inwentaryzacja'!$A$6,382,0)="",OFFSET('Inwentaryzacja'!$D$6,382,0)=""),"",OFFSET('Inwentaryzacja'!$D$6,382,0))</f>
      </c>
      <c r="F399" s="8">
        <f>IF(AND(ISNUMBER($D399),ISNUMBER($E399)),ROUND($D399*$E399,2),"")</f>
      </c>
    </row>
    <row r="400">
      <c r="A400" s="7">
        <f>IF(OR(OFFSET('Inwentaryzacja'!$A$6,383,0)&lt;&gt;"",LEN($D400)&gt;0,LEN($E400)&gt;0),COUNT($A$18:$A399)+1,"")</f>
      </c>
      <c r="B400" s="7">
        <f>IF(OFFSET('Inwentaryzacja'!$A$6,383,0)&lt;&gt;"",OFFSET('Inwentaryzacja'!$A$6,383,0),IF(AND(ISNUMBER($A399),COUNT($A400:$A$517)=0),"Spis zakończono na pozycji "&amp;$A399,""))</f>
      </c>
      <c r="C400" s="7">
        <f>IF(OR(OFFSET('Inwentaryzacja'!$A$6,383,0)="",OFFSET('Inwentaryzacja'!$B$6,383,0)=""),"",OFFSET('Inwentaryzacja'!$B$6,383,0))</f>
      </c>
      <c r="D400" s="7">
        <f>IF(OR(OFFSET('Inwentaryzacja'!$A$6,383,0)="",OFFSET('Inwentaryzacja'!$D$6,383,0)=""),"",OFFSET('Inwentaryzacja'!$D$6,383,0))</f>
      </c>
      <c r="F400" s="8">
        <f>IF(AND(ISNUMBER($D400),ISNUMBER($E400)),ROUND($D400*$E400,2),"")</f>
      </c>
    </row>
    <row r="401">
      <c r="A401" s="7">
        <f>IF(OR(OFFSET('Inwentaryzacja'!$A$6,384,0)&lt;&gt;"",LEN($D401)&gt;0,LEN($E401)&gt;0),COUNT($A$18:$A400)+1,"")</f>
      </c>
      <c r="B401" s="7">
        <f>IF(OFFSET('Inwentaryzacja'!$A$6,384,0)&lt;&gt;"",OFFSET('Inwentaryzacja'!$A$6,384,0),IF(AND(ISNUMBER($A400),COUNT($A401:$A$517)=0),"Spis zakończono na pozycji "&amp;$A400,""))</f>
      </c>
      <c r="C401" s="7">
        <f>IF(OR(OFFSET('Inwentaryzacja'!$A$6,384,0)="",OFFSET('Inwentaryzacja'!$B$6,384,0)=""),"",OFFSET('Inwentaryzacja'!$B$6,384,0))</f>
      </c>
      <c r="D401" s="7">
        <f>IF(OR(OFFSET('Inwentaryzacja'!$A$6,384,0)="",OFFSET('Inwentaryzacja'!$D$6,384,0)=""),"",OFFSET('Inwentaryzacja'!$D$6,384,0))</f>
      </c>
      <c r="F401" s="8">
        <f>IF(AND(ISNUMBER($D401),ISNUMBER($E401)),ROUND($D401*$E401,2),"")</f>
      </c>
    </row>
    <row r="402">
      <c r="A402" s="7">
        <f>IF(OR(OFFSET('Inwentaryzacja'!$A$6,385,0)&lt;&gt;"",LEN($D402)&gt;0,LEN($E402)&gt;0),COUNT($A$18:$A401)+1,"")</f>
      </c>
      <c r="B402" s="7">
        <f>IF(OFFSET('Inwentaryzacja'!$A$6,385,0)&lt;&gt;"",OFFSET('Inwentaryzacja'!$A$6,385,0),IF(AND(ISNUMBER($A401),COUNT($A402:$A$517)=0),"Spis zakończono na pozycji "&amp;$A401,""))</f>
      </c>
      <c r="C402" s="7">
        <f>IF(OR(OFFSET('Inwentaryzacja'!$A$6,385,0)="",OFFSET('Inwentaryzacja'!$B$6,385,0)=""),"",OFFSET('Inwentaryzacja'!$B$6,385,0))</f>
      </c>
      <c r="D402" s="7">
        <f>IF(OR(OFFSET('Inwentaryzacja'!$A$6,385,0)="",OFFSET('Inwentaryzacja'!$D$6,385,0)=""),"",OFFSET('Inwentaryzacja'!$D$6,385,0))</f>
      </c>
      <c r="F402" s="8">
        <f>IF(AND(ISNUMBER($D402),ISNUMBER($E402)),ROUND($D402*$E402,2),"")</f>
      </c>
    </row>
    <row r="403">
      <c r="A403" s="7">
        <f>IF(OR(OFFSET('Inwentaryzacja'!$A$6,386,0)&lt;&gt;"",LEN($D403)&gt;0,LEN($E403)&gt;0),COUNT($A$18:$A402)+1,"")</f>
      </c>
      <c r="B403" s="7">
        <f>IF(OFFSET('Inwentaryzacja'!$A$6,386,0)&lt;&gt;"",OFFSET('Inwentaryzacja'!$A$6,386,0),IF(AND(ISNUMBER($A402),COUNT($A403:$A$517)=0),"Spis zakończono na pozycji "&amp;$A402,""))</f>
      </c>
      <c r="C403" s="7">
        <f>IF(OR(OFFSET('Inwentaryzacja'!$A$6,386,0)="",OFFSET('Inwentaryzacja'!$B$6,386,0)=""),"",OFFSET('Inwentaryzacja'!$B$6,386,0))</f>
      </c>
      <c r="D403" s="7">
        <f>IF(OR(OFFSET('Inwentaryzacja'!$A$6,386,0)="",OFFSET('Inwentaryzacja'!$D$6,386,0)=""),"",OFFSET('Inwentaryzacja'!$D$6,386,0))</f>
      </c>
      <c r="F403" s="8">
        <f>IF(AND(ISNUMBER($D403),ISNUMBER($E403)),ROUND($D403*$E403,2),"")</f>
      </c>
    </row>
    <row r="404">
      <c r="A404" s="7">
        <f>IF(OR(OFFSET('Inwentaryzacja'!$A$6,387,0)&lt;&gt;"",LEN($D404)&gt;0,LEN($E404)&gt;0),COUNT($A$18:$A403)+1,"")</f>
      </c>
      <c r="B404" s="7">
        <f>IF(OFFSET('Inwentaryzacja'!$A$6,387,0)&lt;&gt;"",OFFSET('Inwentaryzacja'!$A$6,387,0),IF(AND(ISNUMBER($A403),COUNT($A404:$A$517)=0),"Spis zakończono na pozycji "&amp;$A403,""))</f>
      </c>
      <c r="C404" s="7">
        <f>IF(OR(OFFSET('Inwentaryzacja'!$A$6,387,0)="",OFFSET('Inwentaryzacja'!$B$6,387,0)=""),"",OFFSET('Inwentaryzacja'!$B$6,387,0))</f>
      </c>
      <c r="D404" s="7">
        <f>IF(OR(OFFSET('Inwentaryzacja'!$A$6,387,0)="",OFFSET('Inwentaryzacja'!$D$6,387,0)=""),"",OFFSET('Inwentaryzacja'!$D$6,387,0))</f>
      </c>
      <c r="F404" s="8">
        <f>IF(AND(ISNUMBER($D404),ISNUMBER($E404)),ROUND($D404*$E404,2),"")</f>
      </c>
    </row>
    <row r="405">
      <c r="A405" s="7">
        <f>IF(OR(OFFSET('Inwentaryzacja'!$A$6,388,0)&lt;&gt;"",LEN($D405)&gt;0,LEN($E405)&gt;0),COUNT($A$18:$A404)+1,"")</f>
      </c>
      <c r="B405" s="7">
        <f>IF(OFFSET('Inwentaryzacja'!$A$6,388,0)&lt;&gt;"",OFFSET('Inwentaryzacja'!$A$6,388,0),IF(AND(ISNUMBER($A404),COUNT($A405:$A$517)=0),"Spis zakończono na pozycji "&amp;$A404,""))</f>
      </c>
      <c r="C405" s="7">
        <f>IF(OR(OFFSET('Inwentaryzacja'!$A$6,388,0)="",OFFSET('Inwentaryzacja'!$B$6,388,0)=""),"",OFFSET('Inwentaryzacja'!$B$6,388,0))</f>
      </c>
      <c r="D405" s="7">
        <f>IF(OR(OFFSET('Inwentaryzacja'!$A$6,388,0)="",OFFSET('Inwentaryzacja'!$D$6,388,0)=""),"",OFFSET('Inwentaryzacja'!$D$6,388,0))</f>
      </c>
      <c r="F405" s="8">
        <f>IF(AND(ISNUMBER($D405),ISNUMBER($E405)),ROUND($D405*$E405,2),"")</f>
      </c>
    </row>
    <row r="406">
      <c r="A406" s="7">
        <f>IF(OR(OFFSET('Inwentaryzacja'!$A$6,389,0)&lt;&gt;"",LEN($D406)&gt;0,LEN($E406)&gt;0),COUNT($A$18:$A405)+1,"")</f>
      </c>
      <c r="B406" s="7">
        <f>IF(OFFSET('Inwentaryzacja'!$A$6,389,0)&lt;&gt;"",OFFSET('Inwentaryzacja'!$A$6,389,0),IF(AND(ISNUMBER($A405),COUNT($A406:$A$517)=0),"Spis zakończono na pozycji "&amp;$A405,""))</f>
      </c>
      <c r="C406" s="7">
        <f>IF(OR(OFFSET('Inwentaryzacja'!$A$6,389,0)="",OFFSET('Inwentaryzacja'!$B$6,389,0)=""),"",OFFSET('Inwentaryzacja'!$B$6,389,0))</f>
      </c>
      <c r="D406" s="7">
        <f>IF(OR(OFFSET('Inwentaryzacja'!$A$6,389,0)="",OFFSET('Inwentaryzacja'!$D$6,389,0)=""),"",OFFSET('Inwentaryzacja'!$D$6,389,0))</f>
      </c>
      <c r="F406" s="8">
        <f>IF(AND(ISNUMBER($D406),ISNUMBER($E406)),ROUND($D406*$E406,2),"")</f>
      </c>
    </row>
    <row r="407">
      <c r="A407" s="7">
        <f>IF(OR(OFFSET('Inwentaryzacja'!$A$6,390,0)&lt;&gt;"",LEN($D407)&gt;0,LEN($E407)&gt;0),COUNT($A$18:$A406)+1,"")</f>
      </c>
      <c r="B407" s="7">
        <f>IF(OFFSET('Inwentaryzacja'!$A$6,390,0)&lt;&gt;"",OFFSET('Inwentaryzacja'!$A$6,390,0),IF(AND(ISNUMBER($A406),COUNT($A407:$A$517)=0),"Spis zakończono na pozycji "&amp;$A406,""))</f>
      </c>
      <c r="C407" s="7">
        <f>IF(OR(OFFSET('Inwentaryzacja'!$A$6,390,0)="",OFFSET('Inwentaryzacja'!$B$6,390,0)=""),"",OFFSET('Inwentaryzacja'!$B$6,390,0))</f>
      </c>
      <c r="D407" s="7">
        <f>IF(OR(OFFSET('Inwentaryzacja'!$A$6,390,0)="",OFFSET('Inwentaryzacja'!$D$6,390,0)=""),"",OFFSET('Inwentaryzacja'!$D$6,390,0))</f>
      </c>
      <c r="F407" s="8">
        <f>IF(AND(ISNUMBER($D407),ISNUMBER($E407)),ROUND($D407*$E407,2),"")</f>
      </c>
    </row>
    <row r="408">
      <c r="A408" s="7">
        <f>IF(OR(OFFSET('Inwentaryzacja'!$A$6,391,0)&lt;&gt;"",LEN($D408)&gt;0,LEN($E408)&gt;0),COUNT($A$18:$A407)+1,"")</f>
      </c>
      <c r="B408" s="7">
        <f>IF(OFFSET('Inwentaryzacja'!$A$6,391,0)&lt;&gt;"",OFFSET('Inwentaryzacja'!$A$6,391,0),IF(AND(ISNUMBER($A407),COUNT($A408:$A$517)=0),"Spis zakończono na pozycji "&amp;$A407,""))</f>
      </c>
      <c r="C408" s="7">
        <f>IF(OR(OFFSET('Inwentaryzacja'!$A$6,391,0)="",OFFSET('Inwentaryzacja'!$B$6,391,0)=""),"",OFFSET('Inwentaryzacja'!$B$6,391,0))</f>
      </c>
      <c r="D408" s="7">
        <f>IF(OR(OFFSET('Inwentaryzacja'!$A$6,391,0)="",OFFSET('Inwentaryzacja'!$D$6,391,0)=""),"",OFFSET('Inwentaryzacja'!$D$6,391,0))</f>
      </c>
      <c r="F408" s="8">
        <f>IF(AND(ISNUMBER($D408),ISNUMBER($E408)),ROUND($D408*$E408,2),"")</f>
      </c>
    </row>
    <row r="409">
      <c r="A409" s="7">
        <f>IF(OR(OFFSET('Inwentaryzacja'!$A$6,392,0)&lt;&gt;"",LEN($D409)&gt;0,LEN($E409)&gt;0),COUNT($A$18:$A408)+1,"")</f>
      </c>
      <c r="B409" s="7">
        <f>IF(OFFSET('Inwentaryzacja'!$A$6,392,0)&lt;&gt;"",OFFSET('Inwentaryzacja'!$A$6,392,0),IF(AND(ISNUMBER($A408),COUNT($A409:$A$517)=0),"Spis zakończono na pozycji "&amp;$A408,""))</f>
      </c>
      <c r="C409" s="7">
        <f>IF(OR(OFFSET('Inwentaryzacja'!$A$6,392,0)="",OFFSET('Inwentaryzacja'!$B$6,392,0)=""),"",OFFSET('Inwentaryzacja'!$B$6,392,0))</f>
      </c>
      <c r="D409" s="7">
        <f>IF(OR(OFFSET('Inwentaryzacja'!$A$6,392,0)="",OFFSET('Inwentaryzacja'!$D$6,392,0)=""),"",OFFSET('Inwentaryzacja'!$D$6,392,0))</f>
      </c>
      <c r="F409" s="8">
        <f>IF(AND(ISNUMBER($D409),ISNUMBER($E409)),ROUND($D409*$E409,2),"")</f>
      </c>
    </row>
    <row r="410">
      <c r="A410" s="7">
        <f>IF(OR(OFFSET('Inwentaryzacja'!$A$6,393,0)&lt;&gt;"",LEN($D410)&gt;0,LEN($E410)&gt;0),COUNT($A$18:$A409)+1,"")</f>
      </c>
      <c r="B410" s="7">
        <f>IF(OFFSET('Inwentaryzacja'!$A$6,393,0)&lt;&gt;"",OFFSET('Inwentaryzacja'!$A$6,393,0),IF(AND(ISNUMBER($A409),COUNT($A410:$A$517)=0),"Spis zakończono na pozycji "&amp;$A409,""))</f>
      </c>
      <c r="C410" s="7">
        <f>IF(OR(OFFSET('Inwentaryzacja'!$A$6,393,0)="",OFFSET('Inwentaryzacja'!$B$6,393,0)=""),"",OFFSET('Inwentaryzacja'!$B$6,393,0))</f>
      </c>
      <c r="D410" s="7">
        <f>IF(OR(OFFSET('Inwentaryzacja'!$A$6,393,0)="",OFFSET('Inwentaryzacja'!$D$6,393,0)=""),"",OFFSET('Inwentaryzacja'!$D$6,393,0))</f>
      </c>
      <c r="F410" s="8">
        <f>IF(AND(ISNUMBER($D410),ISNUMBER($E410)),ROUND($D410*$E410,2),"")</f>
      </c>
    </row>
    <row r="411">
      <c r="A411" s="7">
        <f>IF(OR(OFFSET('Inwentaryzacja'!$A$6,394,0)&lt;&gt;"",LEN($D411)&gt;0,LEN($E411)&gt;0),COUNT($A$18:$A410)+1,"")</f>
      </c>
      <c r="B411" s="7">
        <f>IF(OFFSET('Inwentaryzacja'!$A$6,394,0)&lt;&gt;"",OFFSET('Inwentaryzacja'!$A$6,394,0),IF(AND(ISNUMBER($A410),COUNT($A411:$A$517)=0),"Spis zakończono na pozycji "&amp;$A410,""))</f>
      </c>
      <c r="C411" s="7">
        <f>IF(OR(OFFSET('Inwentaryzacja'!$A$6,394,0)="",OFFSET('Inwentaryzacja'!$B$6,394,0)=""),"",OFFSET('Inwentaryzacja'!$B$6,394,0))</f>
      </c>
      <c r="D411" s="7">
        <f>IF(OR(OFFSET('Inwentaryzacja'!$A$6,394,0)="",OFFSET('Inwentaryzacja'!$D$6,394,0)=""),"",OFFSET('Inwentaryzacja'!$D$6,394,0))</f>
      </c>
      <c r="F411" s="8">
        <f>IF(AND(ISNUMBER($D411),ISNUMBER($E411)),ROUND($D411*$E411,2),"")</f>
      </c>
    </row>
    <row r="412">
      <c r="A412" s="7">
        <f>IF(OR(OFFSET('Inwentaryzacja'!$A$6,395,0)&lt;&gt;"",LEN($D412)&gt;0,LEN($E412)&gt;0),COUNT($A$18:$A411)+1,"")</f>
      </c>
      <c r="B412" s="7">
        <f>IF(OFFSET('Inwentaryzacja'!$A$6,395,0)&lt;&gt;"",OFFSET('Inwentaryzacja'!$A$6,395,0),IF(AND(ISNUMBER($A411),COUNT($A412:$A$517)=0),"Spis zakończono na pozycji "&amp;$A411,""))</f>
      </c>
      <c r="C412" s="7">
        <f>IF(OR(OFFSET('Inwentaryzacja'!$A$6,395,0)="",OFFSET('Inwentaryzacja'!$B$6,395,0)=""),"",OFFSET('Inwentaryzacja'!$B$6,395,0))</f>
      </c>
      <c r="D412" s="7">
        <f>IF(OR(OFFSET('Inwentaryzacja'!$A$6,395,0)="",OFFSET('Inwentaryzacja'!$D$6,395,0)=""),"",OFFSET('Inwentaryzacja'!$D$6,395,0))</f>
      </c>
      <c r="F412" s="8">
        <f>IF(AND(ISNUMBER($D412),ISNUMBER($E412)),ROUND($D412*$E412,2),"")</f>
      </c>
    </row>
    <row r="413">
      <c r="A413" s="7">
        <f>IF(OR(OFFSET('Inwentaryzacja'!$A$6,396,0)&lt;&gt;"",LEN($D413)&gt;0,LEN($E413)&gt;0),COUNT($A$18:$A412)+1,"")</f>
      </c>
      <c r="B413" s="7">
        <f>IF(OFFSET('Inwentaryzacja'!$A$6,396,0)&lt;&gt;"",OFFSET('Inwentaryzacja'!$A$6,396,0),IF(AND(ISNUMBER($A412),COUNT($A413:$A$517)=0),"Spis zakończono na pozycji "&amp;$A412,""))</f>
      </c>
      <c r="C413" s="7">
        <f>IF(OR(OFFSET('Inwentaryzacja'!$A$6,396,0)="",OFFSET('Inwentaryzacja'!$B$6,396,0)=""),"",OFFSET('Inwentaryzacja'!$B$6,396,0))</f>
      </c>
      <c r="D413" s="7">
        <f>IF(OR(OFFSET('Inwentaryzacja'!$A$6,396,0)="",OFFSET('Inwentaryzacja'!$D$6,396,0)=""),"",OFFSET('Inwentaryzacja'!$D$6,396,0))</f>
      </c>
      <c r="F413" s="8">
        <f>IF(AND(ISNUMBER($D413),ISNUMBER($E413)),ROUND($D413*$E413,2),"")</f>
      </c>
    </row>
    <row r="414">
      <c r="A414" s="7">
        <f>IF(OR(OFFSET('Inwentaryzacja'!$A$6,397,0)&lt;&gt;"",LEN($D414)&gt;0,LEN($E414)&gt;0),COUNT($A$18:$A413)+1,"")</f>
      </c>
      <c r="B414" s="7">
        <f>IF(OFFSET('Inwentaryzacja'!$A$6,397,0)&lt;&gt;"",OFFSET('Inwentaryzacja'!$A$6,397,0),IF(AND(ISNUMBER($A413),COUNT($A414:$A$517)=0),"Spis zakończono na pozycji "&amp;$A413,""))</f>
      </c>
      <c r="C414" s="7">
        <f>IF(OR(OFFSET('Inwentaryzacja'!$A$6,397,0)="",OFFSET('Inwentaryzacja'!$B$6,397,0)=""),"",OFFSET('Inwentaryzacja'!$B$6,397,0))</f>
      </c>
      <c r="D414" s="7">
        <f>IF(OR(OFFSET('Inwentaryzacja'!$A$6,397,0)="",OFFSET('Inwentaryzacja'!$D$6,397,0)=""),"",OFFSET('Inwentaryzacja'!$D$6,397,0))</f>
      </c>
      <c r="F414" s="8">
        <f>IF(AND(ISNUMBER($D414),ISNUMBER($E414)),ROUND($D414*$E414,2),"")</f>
      </c>
    </row>
    <row r="415">
      <c r="A415" s="7">
        <f>IF(OR(OFFSET('Inwentaryzacja'!$A$6,398,0)&lt;&gt;"",LEN($D415)&gt;0,LEN($E415)&gt;0),COUNT($A$18:$A414)+1,"")</f>
      </c>
      <c r="B415" s="7">
        <f>IF(OFFSET('Inwentaryzacja'!$A$6,398,0)&lt;&gt;"",OFFSET('Inwentaryzacja'!$A$6,398,0),IF(AND(ISNUMBER($A414),COUNT($A415:$A$517)=0),"Spis zakończono na pozycji "&amp;$A414,""))</f>
      </c>
      <c r="C415" s="7">
        <f>IF(OR(OFFSET('Inwentaryzacja'!$A$6,398,0)="",OFFSET('Inwentaryzacja'!$B$6,398,0)=""),"",OFFSET('Inwentaryzacja'!$B$6,398,0))</f>
      </c>
      <c r="D415" s="7">
        <f>IF(OR(OFFSET('Inwentaryzacja'!$A$6,398,0)="",OFFSET('Inwentaryzacja'!$D$6,398,0)=""),"",OFFSET('Inwentaryzacja'!$D$6,398,0))</f>
      </c>
      <c r="F415" s="8">
        <f>IF(AND(ISNUMBER($D415),ISNUMBER($E415)),ROUND($D415*$E415,2),"")</f>
      </c>
    </row>
    <row r="416">
      <c r="A416" s="7">
        <f>IF(OR(OFFSET('Inwentaryzacja'!$A$6,399,0)&lt;&gt;"",LEN($D416)&gt;0,LEN($E416)&gt;0),COUNT($A$18:$A415)+1,"")</f>
      </c>
      <c r="B416" s="7">
        <f>IF(OFFSET('Inwentaryzacja'!$A$6,399,0)&lt;&gt;"",OFFSET('Inwentaryzacja'!$A$6,399,0),IF(AND(ISNUMBER($A415),COUNT($A416:$A$517)=0),"Spis zakończono na pozycji "&amp;$A415,""))</f>
      </c>
      <c r="C416" s="7">
        <f>IF(OR(OFFSET('Inwentaryzacja'!$A$6,399,0)="",OFFSET('Inwentaryzacja'!$B$6,399,0)=""),"",OFFSET('Inwentaryzacja'!$B$6,399,0))</f>
      </c>
      <c r="D416" s="7">
        <f>IF(OR(OFFSET('Inwentaryzacja'!$A$6,399,0)="",OFFSET('Inwentaryzacja'!$D$6,399,0)=""),"",OFFSET('Inwentaryzacja'!$D$6,399,0))</f>
      </c>
      <c r="F416" s="8">
        <f>IF(AND(ISNUMBER($D416),ISNUMBER($E416)),ROUND($D416*$E416,2),"")</f>
      </c>
    </row>
    <row r="417">
      <c r="A417" s="7">
        <f>IF(OR(OFFSET('Inwentaryzacja'!$A$6,400,0)&lt;&gt;"",LEN($D417)&gt;0,LEN($E417)&gt;0),COUNT($A$18:$A416)+1,"")</f>
      </c>
      <c r="B417" s="7">
        <f>IF(OFFSET('Inwentaryzacja'!$A$6,400,0)&lt;&gt;"",OFFSET('Inwentaryzacja'!$A$6,400,0),IF(AND(ISNUMBER($A416),COUNT($A417:$A$517)=0),"Spis zakończono na pozycji "&amp;$A416,""))</f>
      </c>
      <c r="C417" s="7">
        <f>IF(OR(OFFSET('Inwentaryzacja'!$A$6,400,0)="",OFFSET('Inwentaryzacja'!$B$6,400,0)=""),"",OFFSET('Inwentaryzacja'!$B$6,400,0))</f>
      </c>
      <c r="D417" s="7">
        <f>IF(OR(OFFSET('Inwentaryzacja'!$A$6,400,0)="",OFFSET('Inwentaryzacja'!$D$6,400,0)=""),"",OFFSET('Inwentaryzacja'!$D$6,400,0))</f>
      </c>
      <c r="F417" s="8">
        <f>IF(AND(ISNUMBER($D417),ISNUMBER($E417)),ROUND($D417*$E417,2),"")</f>
      </c>
    </row>
    <row r="418">
      <c r="A418" s="7">
        <f>IF(OR(OFFSET('Inwentaryzacja'!$A$6,401,0)&lt;&gt;"",LEN($D418)&gt;0,LEN($E418)&gt;0),COUNT($A$18:$A417)+1,"")</f>
      </c>
      <c r="B418" s="7">
        <f>IF(OFFSET('Inwentaryzacja'!$A$6,401,0)&lt;&gt;"",OFFSET('Inwentaryzacja'!$A$6,401,0),IF(AND(ISNUMBER($A417),COUNT($A418:$A$517)=0),"Spis zakończono na pozycji "&amp;$A417,""))</f>
      </c>
      <c r="C418" s="7">
        <f>IF(OR(OFFSET('Inwentaryzacja'!$A$6,401,0)="",OFFSET('Inwentaryzacja'!$B$6,401,0)=""),"",OFFSET('Inwentaryzacja'!$B$6,401,0))</f>
      </c>
      <c r="D418" s="7">
        <f>IF(OR(OFFSET('Inwentaryzacja'!$A$6,401,0)="",OFFSET('Inwentaryzacja'!$D$6,401,0)=""),"",OFFSET('Inwentaryzacja'!$D$6,401,0))</f>
      </c>
      <c r="F418" s="8">
        <f>IF(AND(ISNUMBER($D418),ISNUMBER($E418)),ROUND($D418*$E418,2),"")</f>
      </c>
    </row>
    <row r="419">
      <c r="A419" s="7">
        <f>IF(OR(OFFSET('Inwentaryzacja'!$A$6,402,0)&lt;&gt;"",LEN($D419)&gt;0,LEN($E419)&gt;0),COUNT($A$18:$A418)+1,"")</f>
      </c>
      <c r="B419" s="7">
        <f>IF(OFFSET('Inwentaryzacja'!$A$6,402,0)&lt;&gt;"",OFFSET('Inwentaryzacja'!$A$6,402,0),IF(AND(ISNUMBER($A418),COUNT($A419:$A$517)=0),"Spis zakończono na pozycji "&amp;$A418,""))</f>
      </c>
      <c r="C419" s="7">
        <f>IF(OR(OFFSET('Inwentaryzacja'!$A$6,402,0)="",OFFSET('Inwentaryzacja'!$B$6,402,0)=""),"",OFFSET('Inwentaryzacja'!$B$6,402,0))</f>
      </c>
      <c r="D419" s="7">
        <f>IF(OR(OFFSET('Inwentaryzacja'!$A$6,402,0)="",OFFSET('Inwentaryzacja'!$D$6,402,0)=""),"",OFFSET('Inwentaryzacja'!$D$6,402,0))</f>
      </c>
      <c r="F419" s="8">
        <f>IF(AND(ISNUMBER($D419),ISNUMBER($E419)),ROUND($D419*$E419,2),"")</f>
      </c>
    </row>
    <row r="420">
      <c r="A420" s="7">
        <f>IF(OR(OFFSET('Inwentaryzacja'!$A$6,403,0)&lt;&gt;"",LEN($D420)&gt;0,LEN($E420)&gt;0),COUNT($A$18:$A419)+1,"")</f>
      </c>
      <c r="B420" s="7">
        <f>IF(OFFSET('Inwentaryzacja'!$A$6,403,0)&lt;&gt;"",OFFSET('Inwentaryzacja'!$A$6,403,0),IF(AND(ISNUMBER($A419),COUNT($A420:$A$517)=0),"Spis zakończono na pozycji "&amp;$A419,""))</f>
      </c>
      <c r="C420" s="7">
        <f>IF(OR(OFFSET('Inwentaryzacja'!$A$6,403,0)="",OFFSET('Inwentaryzacja'!$B$6,403,0)=""),"",OFFSET('Inwentaryzacja'!$B$6,403,0))</f>
      </c>
      <c r="D420" s="7">
        <f>IF(OR(OFFSET('Inwentaryzacja'!$A$6,403,0)="",OFFSET('Inwentaryzacja'!$D$6,403,0)=""),"",OFFSET('Inwentaryzacja'!$D$6,403,0))</f>
      </c>
      <c r="F420" s="8">
        <f>IF(AND(ISNUMBER($D420),ISNUMBER($E420)),ROUND($D420*$E420,2),"")</f>
      </c>
    </row>
    <row r="421">
      <c r="A421" s="7">
        <f>IF(OR(OFFSET('Inwentaryzacja'!$A$6,404,0)&lt;&gt;"",LEN($D421)&gt;0,LEN($E421)&gt;0),COUNT($A$18:$A420)+1,"")</f>
      </c>
      <c r="B421" s="7">
        <f>IF(OFFSET('Inwentaryzacja'!$A$6,404,0)&lt;&gt;"",OFFSET('Inwentaryzacja'!$A$6,404,0),IF(AND(ISNUMBER($A420),COUNT($A421:$A$517)=0),"Spis zakończono na pozycji "&amp;$A420,""))</f>
      </c>
      <c r="C421" s="7">
        <f>IF(OR(OFFSET('Inwentaryzacja'!$A$6,404,0)="",OFFSET('Inwentaryzacja'!$B$6,404,0)=""),"",OFFSET('Inwentaryzacja'!$B$6,404,0))</f>
      </c>
      <c r="D421" s="7">
        <f>IF(OR(OFFSET('Inwentaryzacja'!$A$6,404,0)="",OFFSET('Inwentaryzacja'!$D$6,404,0)=""),"",OFFSET('Inwentaryzacja'!$D$6,404,0))</f>
      </c>
      <c r="F421" s="8">
        <f>IF(AND(ISNUMBER($D421),ISNUMBER($E421)),ROUND($D421*$E421,2),"")</f>
      </c>
    </row>
    <row r="422">
      <c r="A422" s="7">
        <f>IF(OR(OFFSET('Inwentaryzacja'!$A$6,405,0)&lt;&gt;"",LEN($D422)&gt;0,LEN($E422)&gt;0),COUNT($A$18:$A421)+1,"")</f>
      </c>
      <c r="B422" s="7">
        <f>IF(OFFSET('Inwentaryzacja'!$A$6,405,0)&lt;&gt;"",OFFSET('Inwentaryzacja'!$A$6,405,0),IF(AND(ISNUMBER($A421),COUNT($A422:$A$517)=0),"Spis zakończono na pozycji "&amp;$A421,""))</f>
      </c>
      <c r="C422" s="7">
        <f>IF(OR(OFFSET('Inwentaryzacja'!$A$6,405,0)="",OFFSET('Inwentaryzacja'!$B$6,405,0)=""),"",OFFSET('Inwentaryzacja'!$B$6,405,0))</f>
      </c>
      <c r="D422" s="7">
        <f>IF(OR(OFFSET('Inwentaryzacja'!$A$6,405,0)="",OFFSET('Inwentaryzacja'!$D$6,405,0)=""),"",OFFSET('Inwentaryzacja'!$D$6,405,0))</f>
      </c>
      <c r="F422" s="8">
        <f>IF(AND(ISNUMBER($D422),ISNUMBER($E422)),ROUND($D422*$E422,2),"")</f>
      </c>
    </row>
    <row r="423">
      <c r="A423" s="7">
        <f>IF(OR(OFFSET('Inwentaryzacja'!$A$6,406,0)&lt;&gt;"",LEN($D423)&gt;0,LEN($E423)&gt;0),COUNT($A$18:$A422)+1,"")</f>
      </c>
      <c r="B423" s="7">
        <f>IF(OFFSET('Inwentaryzacja'!$A$6,406,0)&lt;&gt;"",OFFSET('Inwentaryzacja'!$A$6,406,0),IF(AND(ISNUMBER($A422),COUNT($A423:$A$517)=0),"Spis zakończono na pozycji "&amp;$A422,""))</f>
      </c>
      <c r="C423" s="7">
        <f>IF(OR(OFFSET('Inwentaryzacja'!$A$6,406,0)="",OFFSET('Inwentaryzacja'!$B$6,406,0)=""),"",OFFSET('Inwentaryzacja'!$B$6,406,0))</f>
      </c>
      <c r="D423" s="7">
        <f>IF(OR(OFFSET('Inwentaryzacja'!$A$6,406,0)="",OFFSET('Inwentaryzacja'!$D$6,406,0)=""),"",OFFSET('Inwentaryzacja'!$D$6,406,0))</f>
      </c>
      <c r="F423" s="8">
        <f>IF(AND(ISNUMBER($D423),ISNUMBER($E423)),ROUND($D423*$E423,2),"")</f>
      </c>
    </row>
    <row r="424">
      <c r="A424" s="7">
        <f>IF(OR(OFFSET('Inwentaryzacja'!$A$6,407,0)&lt;&gt;"",LEN($D424)&gt;0,LEN($E424)&gt;0),COUNT($A$18:$A423)+1,"")</f>
      </c>
      <c r="B424" s="7">
        <f>IF(OFFSET('Inwentaryzacja'!$A$6,407,0)&lt;&gt;"",OFFSET('Inwentaryzacja'!$A$6,407,0),IF(AND(ISNUMBER($A423),COUNT($A424:$A$517)=0),"Spis zakończono na pozycji "&amp;$A423,""))</f>
      </c>
      <c r="C424" s="7">
        <f>IF(OR(OFFSET('Inwentaryzacja'!$A$6,407,0)="",OFFSET('Inwentaryzacja'!$B$6,407,0)=""),"",OFFSET('Inwentaryzacja'!$B$6,407,0))</f>
      </c>
      <c r="D424" s="7">
        <f>IF(OR(OFFSET('Inwentaryzacja'!$A$6,407,0)="",OFFSET('Inwentaryzacja'!$D$6,407,0)=""),"",OFFSET('Inwentaryzacja'!$D$6,407,0))</f>
      </c>
      <c r="F424" s="8">
        <f>IF(AND(ISNUMBER($D424),ISNUMBER($E424)),ROUND($D424*$E424,2),"")</f>
      </c>
    </row>
    <row r="425">
      <c r="A425" s="7">
        <f>IF(OR(OFFSET('Inwentaryzacja'!$A$6,408,0)&lt;&gt;"",LEN($D425)&gt;0,LEN($E425)&gt;0),COUNT($A$18:$A424)+1,"")</f>
      </c>
      <c r="B425" s="7">
        <f>IF(OFFSET('Inwentaryzacja'!$A$6,408,0)&lt;&gt;"",OFFSET('Inwentaryzacja'!$A$6,408,0),IF(AND(ISNUMBER($A424),COUNT($A425:$A$517)=0),"Spis zakończono na pozycji "&amp;$A424,""))</f>
      </c>
      <c r="C425" s="7">
        <f>IF(OR(OFFSET('Inwentaryzacja'!$A$6,408,0)="",OFFSET('Inwentaryzacja'!$B$6,408,0)=""),"",OFFSET('Inwentaryzacja'!$B$6,408,0))</f>
      </c>
      <c r="D425" s="7">
        <f>IF(OR(OFFSET('Inwentaryzacja'!$A$6,408,0)="",OFFSET('Inwentaryzacja'!$D$6,408,0)=""),"",OFFSET('Inwentaryzacja'!$D$6,408,0))</f>
      </c>
      <c r="F425" s="8">
        <f>IF(AND(ISNUMBER($D425),ISNUMBER($E425)),ROUND($D425*$E425,2),"")</f>
      </c>
    </row>
    <row r="426">
      <c r="A426" s="7">
        <f>IF(OR(OFFSET('Inwentaryzacja'!$A$6,409,0)&lt;&gt;"",LEN($D426)&gt;0,LEN($E426)&gt;0),COUNT($A$18:$A425)+1,"")</f>
      </c>
      <c r="B426" s="7">
        <f>IF(OFFSET('Inwentaryzacja'!$A$6,409,0)&lt;&gt;"",OFFSET('Inwentaryzacja'!$A$6,409,0),IF(AND(ISNUMBER($A425),COUNT($A426:$A$517)=0),"Spis zakończono na pozycji "&amp;$A425,""))</f>
      </c>
      <c r="C426" s="7">
        <f>IF(OR(OFFSET('Inwentaryzacja'!$A$6,409,0)="",OFFSET('Inwentaryzacja'!$B$6,409,0)=""),"",OFFSET('Inwentaryzacja'!$B$6,409,0))</f>
      </c>
      <c r="D426" s="7">
        <f>IF(OR(OFFSET('Inwentaryzacja'!$A$6,409,0)="",OFFSET('Inwentaryzacja'!$D$6,409,0)=""),"",OFFSET('Inwentaryzacja'!$D$6,409,0))</f>
      </c>
      <c r="F426" s="8">
        <f>IF(AND(ISNUMBER($D426),ISNUMBER($E426)),ROUND($D426*$E426,2),"")</f>
      </c>
    </row>
    <row r="427">
      <c r="A427" s="7">
        <f>IF(OR(OFFSET('Inwentaryzacja'!$A$6,410,0)&lt;&gt;"",LEN($D427)&gt;0,LEN($E427)&gt;0),COUNT($A$18:$A426)+1,"")</f>
      </c>
      <c r="B427" s="7">
        <f>IF(OFFSET('Inwentaryzacja'!$A$6,410,0)&lt;&gt;"",OFFSET('Inwentaryzacja'!$A$6,410,0),IF(AND(ISNUMBER($A426),COUNT($A427:$A$517)=0),"Spis zakończono na pozycji "&amp;$A426,""))</f>
      </c>
      <c r="C427" s="7">
        <f>IF(OR(OFFSET('Inwentaryzacja'!$A$6,410,0)="",OFFSET('Inwentaryzacja'!$B$6,410,0)=""),"",OFFSET('Inwentaryzacja'!$B$6,410,0))</f>
      </c>
      <c r="D427" s="7">
        <f>IF(OR(OFFSET('Inwentaryzacja'!$A$6,410,0)="",OFFSET('Inwentaryzacja'!$D$6,410,0)=""),"",OFFSET('Inwentaryzacja'!$D$6,410,0))</f>
      </c>
      <c r="F427" s="8">
        <f>IF(AND(ISNUMBER($D427),ISNUMBER($E427)),ROUND($D427*$E427,2),"")</f>
      </c>
    </row>
    <row r="428">
      <c r="A428" s="7">
        <f>IF(OR(OFFSET('Inwentaryzacja'!$A$6,411,0)&lt;&gt;"",LEN($D428)&gt;0,LEN($E428)&gt;0),COUNT($A$18:$A427)+1,"")</f>
      </c>
      <c r="B428" s="7">
        <f>IF(OFFSET('Inwentaryzacja'!$A$6,411,0)&lt;&gt;"",OFFSET('Inwentaryzacja'!$A$6,411,0),IF(AND(ISNUMBER($A427),COUNT($A428:$A$517)=0),"Spis zakończono na pozycji "&amp;$A427,""))</f>
      </c>
      <c r="C428" s="7">
        <f>IF(OR(OFFSET('Inwentaryzacja'!$A$6,411,0)="",OFFSET('Inwentaryzacja'!$B$6,411,0)=""),"",OFFSET('Inwentaryzacja'!$B$6,411,0))</f>
      </c>
      <c r="D428" s="7">
        <f>IF(OR(OFFSET('Inwentaryzacja'!$A$6,411,0)="",OFFSET('Inwentaryzacja'!$D$6,411,0)=""),"",OFFSET('Inwentaryzacja'!$D$6,411,0))</f>
      </c>
      <c r="F428" s="8">
        <f>IF(AND(ISNUMBER($D428),ISNUMBER($E428)),ROUND($D428*$E428,2),"")</f>
      </c>
    </row>
    <row r="429">
      <c r="A429" s="7">
        <f>IF(OR(OFFSET('Inwentaryzacja'!$A$6,412,0)&lt;&gt;"",LEN($D429)&gt;0,LEN($E429)&gt;0),COUNT($A$18:$A428)+1,"")</f>
      </c>
      <c r="B429" s="7">
        <f>IF(OFFSET('Inwentaryzacja'!$A$6,412,0)&lt;&gt;"",OFFSET('Inwentaryzacja'!$A$6,412,0),IF(AND(ISNUMBER($A428),COUNT($A429:$A$517)=0),"Spis zakończono na pozycji "&amp;$A428,""))</f>
      </c>
      <c r="C429" s="7">
        <f>IF(OR(OFFSET('Inwentaryzacja'!$A$6,412,0)="",OFFSET('Inwentaryzacja'!$B$6,412,0)=""),"",OFFSET('Inwentaryzacja'!$B$6,412,0))</f>
      </c>
      <c r="D429" s="7">
        <f>IF(OR(OFFSET('Inwentaryzacja'!$A$6,412,0)="",OFFSET('Inwentaryzacja'!$D$6,412,0)=""),"",OFFSET('Inwentaryzacja'!$D$6,412,0))</f>
      </c>
      <c r="F429" s="8">
        <f>IF(AND(ISNUMBER($D429),ISNUMBER($E429)),ROUND($D429*$E429,2),"")</f>
      </c>
    </row>
    <row r="430">
      <c r="A430" s="7">
        <f>IF(OR(OFFSET('Inwentaryzacja'!$A$6,413,0)&lt;&gt;"",LEN($D430)&gt;0,LEN($E430)&gt;0),COUNT($A$18:$A429)+1,"")</f>
      </c>
      <c r="B430" s="7">
        <f>IF(OFFSET('Inwentaryzacja'!$A$6,413,0)&lt;&gt;"",OFFSET('Inwentaryzacja'!$A$6,413,0),IF(AND(ISNUMBER($A429),COUNT($A430:$A$517)=0),"Spis zakończono na pozycji "&amp;$A429,""))</f>
      </c>
      <c r="C430" s="7">
        <f>IF(OR(OFFSET('Inwentaryzacja'!$A$6,413,0)="",OFFSET('Inwentaryzacja'!$B$6,413,0)=""),"",OFFSET('Inwentaryzacja'!$B$6,413,0))</f>
      </c>
      <c r="D430" s="7">
        <f>IF(OR(OFFSET('Inwentaryzacja'!$A$6,413,0)="",OFFSET('Inwentaryzacja'!$D$6,413,0)=""),"",OFFSET('Inwentaryzacja'!$D$6,413,0))</f>
      </c>
      <c r="F430" s="8">
        <f>IF(AND(ISNUMBER($D430),ISNUMBER($E430)),ROUND($D430*$E430,2),"")</f>
      </c>
    </row>
    <row r="431">
      <c r="A431" s="7">
        <f>IF(OR(OFFSET('Inwentaryzacja'!$A$6,414,0)&lt;&gt;"",LEN($D431)&gt;0,LEN($E431)&gt;0),COUNT($A$18:$A430)+1,"")</f>
      </c>
      <c r="B431" s="7">
        <f>IF(OFFSET('Inwentaryzacja'!$A$6,414,0)&lt;&gt;"",OFFSET('Inwentaryzacja'!$A$6,414,0),IF(AND(ISNUMBER($A430),COUNT($A431:$A$517)=0),"Spis zakończono na pozycji "&amp;$A430,""))</f>
      </c>
      <c r="C431" s="7">
        <f>IF(OR(OFFSET('Inwentaryzacja'!$A$6,414,0)="",OFFSET('Inwentaryzacja'!$B$6,414,0)=""),"",OFFSET('Inwentaryzacja'!$B$6,414,0))</f>
      </c>
      <c r="D431" s="7">
        <f>IF(OR(OFFSET('Inwentaryzacja'!$A$6,414,0)="",OFFSET('Inwentaryzacja'!$D$6,414,0)=""),"",OFFSET('Inwentaryzacja'!$D$6,414,0))</f>
      </c>
      <c r="F431" s="8">
        <f>IF(AND(ISNUMBER($D431),ISNUMBER($E431)),ROUND($D431*$E431,2),"")</f>
      </c>
    </row>
    <row r="432">
      <c r="A432" s="7">
        <f>IF(OR(OFFSET('Inwentaryzacja'!$A$6,415,0)&lt;&gt;"",LEN($D432)&gt;0,LEN($E432)&gt;0),COUNT($A$18:$A431)+1,"")</f>
      </c>
      <c r="B432" s="7">
        <f>IF(OFFSET('Inwentaryzacja'!$A$6,415,0)&lt;&gt;"",OFFSET('Inwentaryzacja'!$A$6,415,0),IF(AND(ISNUMBER($A431),COUNT($A432:$A$517)=0),"Spis zakończono na pozycji "&amp;$A431,""))</f>
      </c>
      <c r="C432" s="7">
        <f>IF(OR(OFFSET('Inwentaryzacja'!$A$6,415,0)="",OFFSET('Inwentaryzacja'!$B$6,415,0)=""),"",OFFSET('Inwentaryzacja'!$B$6,415,0))</f>
      </c>
      <c r="D432" s="7">
        <f>IF(OR(OFFSET('Inwentaryzacja'!$A$6,415,0)="",OFFSET('Inwentaryzacja'!$D$6,415,0)=""),"",OFFSET('Inwentaryzacja'!$D$6,415,0))</f>
      </c>
      <c r="F432" s="8">
        <f>IF(AND(ISNUMBER($D432),ISNUMBER($E432)),ROUND($D432*$E432,2),"")</f>
      </c>
    </row>
    <row r="433">
      <c r="A433" s="7">
        <f>IF(OR(OFFSET('Inwentaryzacja'!$A$6,416,0)&lt;&gt;"",LEN($D433)&gt;0,LEN($E433)&gt;0),COUNT($A$18:$A432)+1,"")</f>
      </c>
      <c r="B433" s="7">
        <f>IF(OFFSET('Inwentaryzacja'!$A$6,416,0)&lt;&gt;"",OFFSET('Inwentaryzacja'!$A$6,416,0),IF(AND(ISNUMBER($A432),COUNT($A433:$A$517)=0),"Spis zakończono na pozycji "&amp;$A432,""))</f>
      </c>
      <c r="C433" s="7">
        <f>IF(OR(OFFSET('Inwentaryzacja'!$A$6,416,0)="",OFFSET('Inwentaryzacja'!$B$6,416,0)=""),"",OFFSET('Inwentaryzacja'!$B$6,416,0))</f>
      </c>
      <c r="D433" s="7">
        <f>IF(OR(OFFSET('Inwentaryzacja'!$A$6,416,0)="",OFFSET('Inwentaryzacja'!$D$6,416,0)=""),"",OFFSET('Inwentaryzacja'!$D$6,416,0))</f>
      </c>
      <c r="F433" s="8">
        <f>IF(AND(ISNUMBER($D433),ISNUMBER($E433)),ROUND($D433*$E433,2),"")</f>
      </c>
    </row>
    <row r="434">
      <c r="A434" s="7">
        <f>IF(OR(OFFSET('Inwentaryzacja'!$A$6,417,0)&lt;&gt;"",LEN($D434)&gt;0,LEN($E434)&gt;0),COUNT($A$18:$A433)+1,"")</f>
      </c>
      <c r="B434" s="7">
        <f>IF(OFFSET('Inwentaryzacja'!$A$6,417,0)&lt;&gt;"",OFFSET('Inwentaryzacja'!$A$6,417,0),IF(AND(ISNUMBER($A433),COUNT($A434:$A$517)=0),"Spis zakończono na pozycji "&amp;$A433,""))</f>
      </c>
      <c r="C434" s="7">
        <f>IF(OR(OFFSET('Inwentaryzacja'!$A$6,417,0)="",OFFSET('Inwentaryzacja'!$B$6,417,0)=""),"",OFFSET('Inwentaryzacja'!$B$6,417,0))</f>
      </c>
      <c r="D434" s="7">
        <f>IF(OR(OFFSET('Inwentaryzacja'!$A$6,417,0)="",OFFSET('Inwentaryzacja'!$D$6,417,0)=""),"",OFFSET('Inwentaryzacja'!$D$6,417,0))</f>
      </c>
      <c r="F434" s="8">
        <f>IF(AND(ISNUMBER($D434),ISNUMBER($E434)),ROUND($D434*$E434,2),"")</f>
      </c>
    </row>
    <row r="435">
      <c r="A435" s="7">
        <f>IF(OR(OFFSET('Inwentaryzacja'!$A$6,418,0)&lt;&gt;"",LEN($D435)&gt;0,LEN($E435)&gt;0),COUNT($A$18:$A434)+1,"")</f>
      </c>
      <c r="B435" s="7">
        <f>IF(OFFSET('Inwentaryzacja'!$A$6,418,0)&lt;&gt;"",OFFSET('Inwentaryzacja'!$A$6,418,0),IF(AND(ISNUMBER($A434),COUNT($A435:$A$517)=0),"Spis zakończono na pozycji "&amp;$A434,""))</f>
      </c>
      <c r="C435" s="7">
        <f>IF(OR(OFFSET('Inwentaryzacja'!$A$6,418,0)="",OFFSET('Inwentaryzacja'!$B$6,418,0)=""),"",OFFSET('Inwentaryzacja'!$B$6,418,0))</f>
      </c>
      <c r="D435" s="7">
        <f>IF(OR(OFFSET('Inwentaryzacja'!$A$6,418,0)="",OFFSET('Inwentaryzacja'!$D$6,418,0)=""),"",OFFSET('Inwentaryzacja'!$D$6,418,0))</f>
      </c>
      <c r="F435" s="8">
        <f>IF(AND(ISNUMBER($D435),ISNUMBER($E435)),ROUND($D435*$E435,2),"")</f>
      </c>
    </row>
    <row r="436">
      <c r="A436" s="7">
        <f>IF(OR(OFFSET('Inwentaryzacja'!$A$6,419,0)&lt;&gt;"",LEN($D436)&gt;0,LEN($E436)&gt;0),COUNT($A$18:$A435)+1,"")</f>
      </c>
      <c r="B436" s="7">
        <f>IF(OFFSET('Inwentaryzacja'!$A$6,419,0)&lt;&gt;"",OFFSET('Inwentaryzacja'!$A$6,419,0),IF(AND(ISNUMBER($A435),COUNT($A436:$A$517)=0),"Spis zakończono na pozycji "&amp;$A435,""))</f>
      </c>
      <c r="C436" s="7">
        <f>IF(OR(OFFSET('Inwentaryzacja'!$A$6,419,0)="",OFFSET('Inwentaryzacja'!$B$6,419,0)=""),"",OFFSET('Inwentaryzacja'!$B$6,419,0))</f>
      </c>
      <c r="D436" s="7">
        <f>IF(OR(OFFSET('Inwentaryzacja'!$A$6,419,0)="",OFFSET('Inwentaryzacja'!$D$6,419,0)=""),"",OFFSET('Inwentaryzacja'!$D$6,419,0))</f>
      </c>
      <c r="F436" s="8">
        <f>IF(AND(ISNUMBER($D436),ISNUMBER($E436)),ROUND($D436*$E436,2),"")</f>
      </c>
    </row>
    <row r="437">
      <c r="A437" s="7">
        <f>IF(OR(OFFSET('Inwentaryzacja'!$A$6,420,0)&lt;&gt;"",LEN($D437)&gt;0,LEN($E437)&gt;0),COUNT($A$18:$A436)+1,"")</f>
      </c>
      <c r="B437" s="7">
        <f>IF(OFFSET('Inwentaryzacja'!$A$6,420,0)&lt;&gt;"",OFFSET('Inwentaryzacja'!$A$6,420,0),IF(AND(ISNUMBER($A436),COUNT($A437:$A$517)=0),"Spis zakończono na pozycji "&amp;$A436,""))</f>
      </c>
      <c r="C437" s="7">
        <f>IF(OR(OFFSET('Inwentaryzacja'!$A$6,420,0)="",OFFSET('Inwentaryzacja'!$B$6,420,0)=""),"",OFFSET('Inwentaryzacja'!$B$6,420,0))</f>
      </c>
      <c r="D437" s="7">
        <f>IF(OR(OFFSET('Inwentaryzacja'!$A$6,420,0)="",OFFSET('Inwentaryzacja'!$D$6,420,0)=""),"",OFFSET('Inwentaryzacja'!$D$6,420,0))</f>
      </c>
      <c r="F437" s="8">
        <f>IF(AND(ISNUMBER($D437),ISNUMBER($E437)),ROUND($D437*$E437,2),"")</f>
      </c>
    </row>
    <row r="438">
      <c r="A438" s="7">
        <f>IF(OR(OFFSET('Inwentaryzacja'!$A$6,421,0)&lt;&gt;"",LEN($D438)&gt;0,LEN($E438)&gt;0),COUNT($A$18:$A437)+1,"")</f>
      </c>
      <c r="B438" s="7">
        <f>IF(OFFSET('Inwentaryzacja'!$A$6,421,0)&lt;&gt;"",OFFSET('Inwentaryzacja'!$A$6,421,0),IF(AND(ISNUMBER($A437),COUNT($A438:$A$517)=0),"Spis zakończono na pozycji "&amp;$A437,""))</f>
      </c>
      <c r="C438" s="7">
        <f>IF(OR(OFFSET('Inwentaryzacja'!$A$6,421,0)="",OFFSET('Inwentaryzacja'!$B$6,421,0)=""),"",OFFSET('Inwentaryzacja'!$B$6,421,0))</f>
      </c>
      <c r="D438" s="7">
        <f>IF(OR(OFFSET('Inwentaryzacja'!$A$6,421,0)="",OFFSET('Inwentaryzacja'!$D$6,421,0)=""),"",OFFSET('Inwentaryzacja'!$D$6,421,0))</f>
      </c>
      <c r="F438" s="8">
        <f>IF(AND(ISNUMBER($D438),ISNUMBER($E438)),ROUND($D438*$E438,2),"")</f>
      </c>
    </row>
    <row r="439">
      <c r="A439" s="7">
        <f>IF(OR(OFFSET('Inwentaryzacja'!$A$6,422,0)&lt;&gt;"",LEN($D439)&gt;0,LEN($E439)&gt;0),COUNT($A$18:$A438)+1,"")</f>
      </c>
      <c r="B439" s="7">
        <f>IF(OFFSET('Inwentaryzacja'!$A$6,422,0)&lt;&gt;"",OFFSET('Inwentaryzacja'!$A$6,422,0),IF(AND(ISNUMBER($A438),COUNT($A439:$A$517)=0),"Spis zakończono na pozycji "&amp;$A438,""))</f>
      </c>
      <c r="C439" s="7">
        <f>IF(OR(OFFSET('Inwentaryzacja'!$A$6,422,0)="",OFFSET('Inwentaryzacja'!$B$6,422,0)=""),"",OFFSET('Inwentaryzacja'!$B$6,422,0))</f>
      </c>
      <c r="D439" s="7">
        <f>IF(OR(OFFSET('Inwentaryzacja'!$A$6,422,0)="",OFFSET('Inwentaryzacja'!$D$6,422,0)=""),"",OFFSET('Inwentaryzacja'!$D$6,422,0))</f>
      </c>
      <c r="F439" s="8">
        <f>IF(AND(ISNUMBER($D439),ISNUMBER($E439)),ROUND($D439*$E439,2),"")</f>
      </c>
    </row>
    <row r="440">
      <c r="A440" s="7">
        <f>IF(OR(OFFSET('Inwentaryzacja'!$A$6,423,0)&lt;&gt;"",LEN($D440)&gt;0,LEN($E440)&gt;0),COUNT($A$18:$A439)+1,"")</f>
      </c>
      <c r="B440" s="7">
        <f>IF(OFFSET('Inwentaryzacja'!$A$6,423,0)&lt;&gt;"",OFFSET('Inwentaryzacja'!$A$6,423,0),IF(AND(ISNUMBER($A439),COUNT($A440:$A$517)=0),"Spis zakończono na pozycji "&amp;$A439,""))</f>
      </c>
      <c r="C440" s="7">
        <f>IF(OR(OFFSET('Inwentaryzacja'!$A$6,423,0)="",OFFSET('Inwentaryzacja'!$B$6,423,0)=""),"",OFFSET('Inwentaryzacja'!$B$6,423,0))</f>
      </c>
      <c r="D440" s="7">
        <f>IF(OR(OFFSET('Inwentaryzacja'!$A$6,423,0)="",OFFSET('Inwentaryzacja'!$D$6,423,0)=""),"",OFFSET('Inwentaryzacja'!$D$6,423,0))</f>
      </c>
      <c r="F440" s="8">
        <f>IF(AND(ISNUMBER($D440),ISNUMBER($E440)),ROUND($D440*$E440,2),"")</f>
      </c>
    </row>
    <row r="441">
      <c r="A441" s="7">
        <f>IF(OR(OFFSET('Inwentaryzacja'!$A$6,424,0)&lt;&gt;"",LEN($D441)&gt;0,LEN($E441)&gt;0),COUNT($A$18:$A440)+1,"")</f>
      </c>
      <c r="B441" s="7">
        <f>IF(OFFSET('Inwentaryzacja'!$A$6,424,0)&lt;&gt;"",OFFSET('Inwentaryzacja'!$A$6,424,0),IF(AND(ISNUMBER($A440),COUNT($A441:$A$517)=0),"Spis zakończono na pozycji "&amp;$A440,""))</f>
      </c>
      <c r="C441" s="7">
        <f>IF(OR(OFFSET('Inwentaryzacja'!$A$6,424,0)="",OFFSET('Inwentaryzacja'!$B$6,424,0)=""),"",OFFSET('Inwentaryzacja'!$B$6,424,0))</f>
      </c>
      <c r="D441" s="7">
        <f>IF(OR(OFFSET('Inwentaryzacja'!$A$6,424,0)="",OFFSET('Inwentaryzacja'!$D$6,424,0)=""),"",OFFSET('Inwentaryzacja'!$D$6,424,0))</f>
      </c>
      <c r="F441" s="8">
        <f>IF(AND(ISNUMBER($D441),ISNUMBER($E441)),ROUND($D441*$E441,2),"")</f>
      </c>
    </row>
    <row r="442">
      <c r="A442" s="7">
        <f>IF(OR(OFFSET('Inwentaryzacja'!$A$6,425,0)&lt;&gt;"",LEN($D442)&gt;0,LEN($E442)&gt;0),COUNT($A$18:$A441)+1,"")</f>
      </c>
      <c r="B442" s="7">
        <f>IF(OFFSET('Inwentaryzacja'!$A$6,425,0)&lt;&gt;"",OFFSET('Inwentaryzacja'!$A$6,425,0),IF(AND(ISNUMBER($A441),COUNT($A442:$A$517)=0),"Spis zakończono na pozycji "&amp;$A441,""))</f>
      </c>
      <c r="C442" s="7">
        <f>IF(OR(OFFSET('Inwentaryzacja'!$A$6,425,0)="",OFFSET('Inwentaryzacja'!$B$6,425,0)=""),"",OFFSET('Inwentaryzacja'!$B$6,425,0))</f>
      </c>
      <c r="D442" s="7">
        <f>IF(OR(OFFSET('Inwentaryzacja'!$A$6,425,0)="",OFFSET('Inwentaryzacja'!$D$6,425,0)=""),"",OFFSET('Inwentaryzacja'!$D$6,425,0))</f>
      </c>
      <c r="F442" s="8">
        <f>IF(AND(ISNUMBER($D442),ISNUMBER($E442)),ROUND($D442*$E442,2),"")</f>
      </c>
    </row>
    <row r="443">
      <c r="A443" s="7">
        <f>IF(OR(OFFSET('Inwentaryzacja'!$A$6,426,0)&lt;&gt;"",LEN($D443)&gt;0,LEN($E443)&gt;0),COUNT($A$18:$A442)+1,"")</f>
      </c>
      <c r="B443" s="7">
        <f>IF(OFFSET('Inwentaryzacja'!$A$6,426,0)&lt;&gt;"",OFFSET('Inwentaryzacja'!$A$6,426,0),IF(AND(ISNUMBER($A442),COUNT($A443:$A$517)=0),"Spis zakończono na pozycji "&amp;$A442,""))</f>
      </c>
      <c r="C443" s="7">
        <f>IF(OR(OFFSET('Inwentaryzacja'!$A$6,426,0)="",OFFSET('Inwentaryzacja'!$B$6,426,0)=""),"",OFFSET('Inwentaryzacja'!$B$6,426,0))</f>
      </c>
      <c r="D443" s="7">
        <f>IF(OR(OFFSET('Inwentaryzacja'!$A$6,426,0)="",OFFSET('Inwentaryzacja'!$D$6,426,0)=""),"",OFFSET('Inwentaryzacja'!$D$6,426,0))</f>
      </c>
      <c r="F443" s="8">
        <f>IF(AND(ISNUMBER($D443),ISNUMBER($E443)),ROUND($D443*$E443,2),"")</f>
      </c>
    </row>
    <row r="444">
      <c r="A444" s="7">
        <f>IF(OR(OFFSET('Inwentaryzacja'!$A$6,427,0)&lt;&gt;"",LEN($D444)&gt;0,LEN($E444)&gt;0),COUNT($A$18:$A443)+1,"")</f>
      </c>
      <c r="B444" s="7">
        <f>IF(OFFSET('Inwentaryzacja'!$A$6,427,0)&lt;&gt;"",OFFSET('Inwentaryzacja'!$A$6,427,0),IF(AND(ISNUMBER($A443),COUNT($A444:$A$517)=0),"Spis zakończono na pozycji "&amp;$A443,""))</f>
      </c>
      <c r="C444" s="7">
        <f>IF(OR(OFFSET('Inwentaryzacja'!$A$6,427,0)="",OFFSET('Inwentaryzacja'!$B$6,427,0)=""),"",OFFSET('Inwentaryzacja'!$B$6,427,0))</f>
      </c>
      <c r="D444" s="7">
        <f>IF(OR(OFFSET('Inwentaryzacja'!$A$6,427,0)="",OFFSET('Inwentaryzacja'!$D$6,427,0)=""),"",OFFSET('Inwentaryzacja'!$D$6,427,0))</f>
      </c>
      <c r="F444" s="8">
        <f>IF(AND(ISNUMBER($D444),ISNUMBER($E444)),ROUND($D444*$E444,2),"")</f>
      </c>
    </row>
    <row r="445">
      <c r="A445" s="7">
        <f>IF(OR(OFFSET('Inwentaryzacja'!$A$6,428,0)&lt;&gt;"",LEN($D445)&gt;0,LEN($E445)&gt;0),COUNT($A$18:$A444)+1,"")</f>
      </c>
      <c r="B445" s="7">
        <f>IF(OFFSET('Inwentaryzacja'!$A$6,428,0)&lt;&gt;"",OFFSET('Inwentaryzacja'!$A$6,428,0),IF(AND(ISNUMBER($A444),COUNT($A445:$A$517)=0),"Spis zakończono na pozycji "&amp;$A444,""))</f>
      </c>
      <c r="C445" s="7">
        <f>IF(OR(OFFSET('Inwentaryzacja'!$A$6,428,0)="",OFFSET('Inwentaryzacja'!$B$6,428,0)=""),"",OFFSET('Inwentaryzacja'!$B$6,428,0))</f>
      </c>
      <c r="D445" s="7">
        <f>IF(OR(OFFSET('Inwentaryzacja'!$A$6,428,0)="",OFFSET('Inwentaryzacja'!$D$6,428,0)=""),"",OFFSET('Inwentaryzacja'!$D$6,428,0))</f>
      </c>
      <c r="F445" s="8">
        <f>IF(AND(ISNUMBER($D445),ISNUMBER($E445)),ROUND($D445*$E445,2),"")</f>
      </c>
    </row>
    <row r="446">
      <c r="A446" s="7">
        <f>IF(OR(OFFSET('Inwentaryzacja'!$A$6,429,0)&lt;&gt;"",LEN($D446)&gt;0,LEN($E446)&gt;0),COUNT($A$18:$A445)+1,"")</f>
      </c>
      <c r="B446" s="7">
        <f>IF(OFFSET('Inwentaryzacja'!$A$6,429,0)&lt;&gt;"",OFFSET('Inwentaryzacja'!$A$6,429,0),IF(AND(ISNUMBER($A445),COUNT($A446:$A$517)=0),"Spis zakończono na pozycji "&amp;$A445,""))</f>
      </c>
      <c r="C446" s="7">
        <f>IF(OR(OFFSET('Inwentaryzacja'!$A$6,429,0)="",OFFSET('Inwentaryzacja'!$B$6,429,0)=""),"",OFFSET('Inwentaryzacja'!$B$6,429,0))</f>
      </c>
      <c r="D446" s="7">
        <f>IF(OR(OFFSET('Inwentaryzacja'!$A$6,429,0)="",OFFSET('Inwentaryzacja'!$D$6,429,0)=""),"",OFFSET('Inwentaryzacja'!$D$6,429,0))</f>
      </c>
      <c r="F446" s="8">
        <f>IF(AND(ISNUMBER($D446),ISNUMBER($E446)),ROUND($D446*$E446,2),"")</f>
      </c>
    </row>
    <row r="447">
      <c r="A447" s="7">
        <f>IF(OR(OFFSET('Inwentaryzacja'!$A$6,430,0)&lt;&gt;"",LEN($D447)&gt;0,LEN($E447)&gt;0),COUNT($A$18:$A446)+1,"")</f>
      </c>
      <c r="B447" s="7">
        <f>IF(OFFSET('Inwentaryzacja'!$A$6,430,0)&lt;&gt;"",OFFSET('Inwentaryzacja'!$A$6,430,0),IF(AND(ISNUMBER($A446),COUNT($A447:$A$517)=0),"Spis zakończono na pozycji "&amp;$A446,""))</f>
      </c>
      <c r="C447" s="7">
        <f>IF(OR(OFFSET('Inwentaryzacja'!$A$6,430,0)="",OFFSET('Inwentaryzacja'!$B$6,430,0)=""),"",OFFSET('Inwentaryzacja'!$B$6,430,0))</f>
      </c>
      <c r="D447" s="7">
        <f>IF(OR(OFFSET('Inwentaryzacja'!$A$6,430,0)="",OFFSET('Inwentaryzacja'!$D$6,430,0)=""),"",OFFSET('Inwentaryzacja'!$D$6,430,0))</f>
      </c>
      <c r="F447" s="8">
        <f>IF(AND(ISNUMBER($D447),ISNUMBER($E447)),ROUND($D447*$E447,2),"")</f>
      </c>
    </row>
    <row r="448">
      <c r="A448" s="7">
        <f>IF(OR(OFFSET('Inwentaryzacja'!$A$6,431,0)&lt;&gt;"",LEN($D448)&gt;0,LEN($E448)&gt;0),COUNT($A$18:$A447)+1,"")</f>
      </c>
      <c r="B448" s="7">
        <f>IF(OFFSET('Inwentaryzacja'!$A$6,431,0)&lt;&gt;"",OFFSET('Inwentaryzacja'!$A$6,431,0),IF(AND(ISNUMBER($A447),COUNT($A448:$A$517)=0),"Spis zakończono na pozycji "&amp;$A447,""))</f>
      </c>
      <c r="C448" s="7">
        <f>IF(OR(OFFSET('Inwentaryzacja'!$A$6,431,0)="",OFFSET('Inwentaryzacja'!$B$6,431,0)=""),"",OFFSET('Inwentaryzacja'!$B$6,431,0))</f>
      </c>
      <c r="D448" s="7">
        <f>IF(OR(OFFSET('Inwentaryzacja'!$A$6,431,0)="",OFFSET('Inwentaryzacja'!$D$6,431,0)=""),"",OFFSET('Inwentaryzacja'!$D$6,431,0))</f>
      </c>
      <c r="F448" s="8">
        <f>IF(AND(ISNUMBER($D448),ISNUMBER($E448)),ROUND($D448*$E448,2),"")</f>
      </c>
    </row>
    <row r="449">
      <c r="A449" s="7">
        <f>IF(OR(OFFSET('Inwentaryzacja'!$A$6,432,0)&lt;&gt;"",LEN($D449)&gt;0,LEN($E449)&gt;0),COUNT($A$18:$A448)+1,"")</f>
      </c>
      <c r="B449" s="7">
        <f>IF(OFFSET('Inwentaryzacja'!$A$6,432,0)&lt;&gt;"",OFFSET('Inwentaryzacja'!$A$6,432,0),IF(AND(ISNUMBER($A448),COUNT($A449:$A$517)=0),"Spis zakończono na pozycji "&amp;$A448,""))</f>
      </c>
      <c r="C449" s="7">
        <f>IF(OR(OFFSET('Inwentaryzacja'!$A$6,432,0)="",OFFSET('Inwentaryzacja'!$B$6,432,0)=""),"",OFFSET('Inwentaryzacja'!$B$6,432,0))</f>
      </c>
      <c r="D449" s="7">
        <f>IF(OR(OFFSET('Inwentaryzacja'!$A$6,432,0)="",OFFSET('Inwentaryzacja'!$D$6,432,0)=""),"",OFFSET('Inwentaryzacja'!$D$6,432,0))</f>
      </c>
      <c r="F449" s="8">
        <f>IF(AND(ISNUMBER($D449),ISNUMBER($E449)),ROUND($D449*$E449,2),"")</f>
      </c>
    </row>
    <row r="450">
      <c r="A450" s="7">
        <f>IF(OR(OFFSET('Inwentaryzacja'!$A$6,433,0)&lt;&gt;"",LEN($D450)&gt;0,LEN($E450)&gt;0),COUNT($A$18:$A449)+1,"")</f>
      </c>
      <c r="B450" s="7">
        <f>IF(OFFSET('Inwentaryzacja'!$A$6,433,0)&lt;&gt;"",OFFSET('Inwentaryzacja'!$A$6,433,0),IF(AND(ISNUMBER($A449),COUNT($A450:$A$517)=0),"Spis zakończono na pozycji "&amp;$A449,""))</f>
      </c>
      <c r="C450" s="7">
        <f>IF(OR(OFFSET('Inwentaryzacja'!$A$6,433,0)="",OFFSET('Inwentaryzacja'!$B$6,433,0)=""),"",OFFSET('Inwentaryzacja'!$B$6,433,0))</f>
      </c>
      <c r="D450" s="7">
        <f>IF(OR(OFFSET('Inwentaryzacja'!$A$6,433,0)="",OFFSET('Inwentaryzacja'!$D$6,433,0)=""),"",OFFSET('Inwentaryzacja'!$D$6,433,0))</f>
      </c>
      <c r="F450" s="8">
        <f>IF(AND(ISNUMBER($D450),ISNUMBER($E450)),ROUND($D450*$E450,2),"")</f>
      </c>
    </row>
    <row r="451">
      <c r="A451" s="7">
        <f>IF(OR(OFFSET('Inwentaryzacja'!$A$6,434,0)&lt;&gt;"",LEN($D451)&gt;0,LEN($E451)&gt;0),COUNT($A$18:$A450)+1,"")</f>
      </c>
      <c r="B451" s="7">
        <f>IF(OFFSET('Inwentaryzacja'!$A$6,434,0)&lt;&gt;"",OFFSET('Inwentaryzacja'!$A$6,434,0),IF(AND(ISNUMBER($A450),COUNT($A451:$A$517)=0),"Spis zakończono na pozycji "&amp;$A450,""))</f>
      </c>
      <c r="C451" s="7">
        <f>IF(OR(OFFSET('Inwentaryzacja'!$A$6,434,0)="",OFFSET('Inwentaryzacja'!$B$6,434,0)=""),"",OFFSET('Inwentaryzacja'!$B$6,434,0))</f>
      </c>
      <c r="D451" s="7">
        <f>IF(OR(OFFSET('Inwentaryzacja'!$A$6,434,0)="",OFFSET('Inwentaryzacja'!$D$6,434,0)=""),"",OFFSET('Inwentaryzacja'!$D$6,434,0))</f>
      </c>
      <c r="F451" s="8">
        <f>IF(AND(ISNUMBER($D451),ISNUMBER($E451)),ROUND($D451*$E451,2),"")</f>
      </c>
    </row>
    <row r="452">
      <c r="A452" s="7">
        <f>IF(OR(OFFSET('Inwentaryzacja'!$A$6,435,0)&lt;&gt;"",LEN($D452)&gt;0,LEN($E452)&gt;0),COUNT($A$18:$A451)+1,"")</f>
      </c>
      <c r="B452" s="7">
        <f>IF(OFFSET('Inwentaryzacja'!$A$6,435,0)&lt;&gt;"",OFFSET('Inwentaryzacja'!$A$6,435,0),IF(AND(ISNUMBER($A451),COUNT($A452:$A$517)=0),"Spis zakończono na pozycji "&amp;$A451,""))</f>
      </c>
      <c r="C452" s="7">
        <f>IF(OR(OFFSET('Inwentaryzacja'!$A$6,435,0)="",OFFSET('Inwentaryzacja'!$B$6,435,0)=""),"",OFFSET('Inwentaryzacja'!$B$6,435,0))</f>
      </c>
      <c r="D452" s="7">
        <f>IF(OR(OFFSET('Inwentaryzacja'!$A$6,435,0)="",OFFSET('Inwentaryzacja'!$D$6,435,0)=""),"",OFFSET('Inwentaryzacja'!$D$6,435,0))</f>
      </c>
      <c r="F452" s="8">
        <f>IF(AND(ISNUMBER($D452),ISNUMBER($E452)),ROUND($D452*$E452,2),"")</f>
      </c>
    </row>
    <row r="453">
      <c r="A453" s="7">
        <f>IF(OR(OFFSET('Inwentaryzacja'!$A$6,436,0)&lt;&gt;"",LEN($D453)&gt;0,LEN($E453)&gt;0),COUNT($A$18:$A452)+1,"")</f>
      </c>
      <c r="B453" s="7">
        <f>IF(OFFSET('Inwentaryzacja'!$A$6,436,0)&lt;&gt;"",OFFSET('Inwentaryzacja'!$A$6,436,0),IF(AND(ISNUMBER($A452),COUNT($A453:$A$517)=0),"Spis zakończono na pozycji "&amp;$A452,""))</f>
      </c>
      <c r="C453" s="7">
        <f>IF(OR(OFFSET('Inwentaryzacja'!$A$6,436,0)="",OFFSET('Inwentaryzacja'!$B$6,436,0)=""),"",OFFSET('Inwentaryzacja'!$B$6,436,0))</f>
      </c>
      <c r="D453" s="7">
        <f>IF(OR(OFFSET('Inwentaryzacja'!$A$6,436,0)="",OFFSET('Inwentaryzacja'!$D$6,436,0)=""),"",OFFSET('Inwentaryzacja'!$D$6,436,0))</f>
      </c>
      <c r="F453" s="8">
        <f>IF(AND(ISNUMBER($D453),ISNUMBER($E453)),ROUND($D453*$E453,2),"")</f>
      </c>
    </row>
    <row r="454">
      <c r="A454" s="7">
        <f>IF(OR(OFFSET('Inwentaryzacja'!$A$6,437,0)&lt;&gt;"",LEN($D454)&gt;0,LEN($E454)&gt;0),COUNT($A$18:$A453)+1,"")</f>
      </c>
      <c r="B454" s="7">
        <f>IF(OFFSET('Inwentaryzacja'!$A$6,437,0)&lt;&gt;"",OFFSET('Inwentaryzacja'!$A$6,437,0),IF(AND(ISNUMBER($A453),COUNT($A454:$A$517)=0),"Spis zakończono na pozycji "&amp;$A453,""))</f>
      </c>
      <c r="C454" s="7">
        <f>IF(OR(OFFSET('Inwentaryzacja'!$A$6,437,0)="",OFFSET('Inwentaryzacja'!$B$6,437,0)=""),"",OFFSET('Inwentaryzacja'!$B$6,437,0))</f>
      </c>
      <c r="D454" s="7">
        <f>IF(OR(OFFSET('Inwentaryzacja'!$A$6,437,0)="",OFFSET('Inwentaryzacja'!$D$6,437,0)=""),"",OFFSET('Inwentaryzacja'!$D$6,437,0))</f>
      </c>
      <c r="F454" s="8">
        <f>IF(AND(ISNUMBER($D454),ISNUMBER($E454)),ROUND($D454*$E454,2),"")</f>
      </c>
    </row>
    <row r="455">
      <c r="A455" s="7">
        <f>IF(OR(OFFSET('Inwentaryzacja'!$A$6,438,0)&lt;&gt;"",LEN($D455)&gt;0,LEN($E455)&gt;0),COUNT($A$18:$A454)+1,"")</f>
      </c>
      <c r="B455" s="7">
        <f>IF(OFFSET('Inwentaryzacja'!$A$6,438,0)&lt;&gt;"",OFFSET('Inwentaryzacja'!$A$6,438,0),IF(AND(ISNUMBER($A454),COUNT($A455:$A$517)=0),"Spis zakończono na pozycji "&amp;$A454,""))</f>
      </c>
      <c r="C455" s="7">
        <f>IF(OR(OFFSET('Inwentaryzacja'!$A$6,438,0)="",OFFSET('Inwentaryzacja'!$B$6,438,0)=""),"",OFFSET('Inwentaryzacja'!$B$6,438,0))</f>
      </c>
      <c r="D455" s="7">
        <f>IF(OR(OFFSET('Inwentaryzacja'!$A$6,438,0)="",OFFSET('Inwentaryzacja'!$D$6,438,0)=""),"",OFFSET('Inwentaryzacja'!$D$6,438,0))</f>
      </c>
      <c r="F455" s="8">
        <f>IF(AND(ISNUMBER($D455),ISNUMBER($E455)),ROUND($D455*$E455,2),"")</f>
      </c>
    </row>
    <row r="456">
      <c r="A456" s="7">
        <f>IF(OR(OFFSET('Inwentaryzacja'!$A$6,439,0)&lt;&gt;"",LEN($D456)&gt;0,LEN($E456)&gt;0),COUNT($A$18:$A455)+1,"")</f>
      </c>
      <c r="B456" s="7">
        <f>IF(OFFSET('Inwentaryzacja'!$A$6,439,0)&lt;&gt;"",OFFSET('Inwentaryzacja'!$A$6,439,0),IF(AND(ISNUMBER($A455),COUNT($A456:$A$517)=0),"Spis zakończono na pozycji "&amp;$A455,""))</f>
      </c>
      <c r="C456" s="7">
        <f>IF(OR(OFFSET('Inwentaryzacja'!$A$6,439,0)="",OFFSET('Inwentaryzacja'!$B$6,439,0)=""),"",OFFSET('Inwentaryzacja'!$B$6,439,0))</f>
      </c>
      <c r="D456" s="7">
        <f>IF(OR(OFFSET('Inwentaryzacja'!$A$6,439,0)="",OFFSET('Inwentaryzacja'!$D$6,439,0)=""),"",OFFSET('Inwentaryzacja'!$D$6,439,0))</f>
      </c>
      <c r="F456" s="8">
        <f>IF(AND(ISNUMBER($D456),ISNUMBER($E456)),ROUND($D456*$E456,2),"")</f>
      </c>
    </row>
    <row r="457">
      <c r="A457" s="7">
        <f>IF(OR(OFFSET('Inwentaryzacja'!$A$6,440,0)&lt;&gt;"",LEN($D457)&gt;0,LEN($E457)&gt;0),COUNT($A$18:$A456)+1,"")</f>
      </c>
      <c r="B457" s="7">
        <f>IF(OFFSET('Inwentaryzacja'!$A$6,440,0)&lt;&gt;"",OFFSET('Inwentaryzacja'!$A$6,440,0),IF(AND(ISNUMBER($A456),COUNT($A457:$A$517)=0),"Spis zakończono na pozycji "&amp;$A456,""))</f>
      </c>
      <c r="C457" s="7">
        <f>IF(OR(OFFSET('Inwentaryzacja'!$A$6,440,0)="",OFFSET('Inwentaryzacja'!$B$6,440,0)=""),"",OFFSET('Inwentaryzacja'!$B$6,440,0))</f>
      </c>
      <c r="D457" s="7">
        <f>IF(OR(OFFSET('Inwentaryzacja'!$A$6,440,0)="",OFFSET('Inwentaryzacja'!$D$6,440,0)=""),"",OFFSET('Inwentaryzacja'!$D$6,440,0))</f>
      </c>
      <c r="F457" s="8">
        <f>IF(AND(ISNUMBER($D457),ISNUMBER($E457)),ROUND($D457*$E457,2),"")</f>
      </c>
    </row>
    <row r="458">
      <c r="A458" s="7">
        <f>IF(OR(OFFSET('Inwentaryzacja'!$A$6,441,0)&lt;&gt;"",LEN($D458)&gt;0,LEN($E458)&gt;0),COUNT($A$18:$A457)+1,"")</f>
      </c>
      <c r="B458" s="7">
        <f>IF(OFFSET('Inwentaryzacja'!$A$6,441,0)&lt;&gt;"",OFFSET('Inwentaryzacja'!$A$6,441,0),IF(AND(ISNUMBER($A457),COUNT($A458:$A$517)=0),"Spis zakończono na pozycji "&amp;$A457,""))</f>
      </c>
      <c r="C458" s="7">
        <f>IF(OR(OFFSET('Inwentaryzacja'!$A$6,441,0)="",OFFSET('Inwentaryzacja'!$B$6,441,0)=""),"",OFFSET('Inwentaryzacja'!$B$6,441,0))</f>
      </c>
      <c r="D458" s="7">
        <f>IF(OR(OFFSET('Inwentaryzacja'!$A$6,441,0)="",OFFSET('Inwentaryzacja'!$D$6,441,0)=""),"",OFFSET('Inwentaryzacja'!$D$6,441,0))</f>
      </c>
      <c r="F458" s="8">
        <f>IF(AND(ISNUMBER($D458),ISNUMBER($E458)),ROUND($D458*$E458,2),"")</f>
      </c>
    </row>
    <row r="459">
      <c r="A459" s="7">
        <f>IF(OR(OFFSET('Inwentaryzacja'!$A$6,442,0)&lt;&gt;"",LEN($D459)&gt;0,LEN($E459)&gt;0),COUNT($A$18:$A458)+1,"")</f>
      </c>
      <c r="B459" s="7">
        <f>IF(OFFSET('Inwentaryzacja'!$A$6,442,0)&lt;&gt;"",OFFSET('Inwentaryzacja'!$A$6,442,0),IF(AND(ISNUMBER($A458),COUNT($A459:$A$517)=0),"Spis zakończono na pozycji "&amp;$A458,""))</f>
      </c>
      <c r="C459" s="7">
        <f>IF(OR(OFFSET('Inwentaryzacja'!$A$6,442,0)="",OFFSET('Inwentaryzacja'!$B$6,442,0)=""),"",OFFSET('Inwentaryzacja'!$B$6,442,0))</f>
      </c>
      <c r="D459" s="7">
        <f>IF(OR(OFFSET('Inwentaryzacja'!$A$6,442,0)="",OFFSET('Inwentaryzacja'!$D$6,442,0)=""),"",OFFSET('Inwentaryzacja'!$D$6,442,0))</f>
      </c>
      <c r="F459" s="8">
        <f>IF(AND(ISNUMBER($D459),ISNUMBER($E459)),ROUND($D459*$E459,2),"")</f>
      </c>
    </row>
    <row r="460">
      <c r="A460" s="7">
        <f>IF(OR(OFFSET('Inwentaryzacja'!$A$6,443,0)&lt;&gt;"",LEN($D460)&gt;0,LEN($E460)&gt;0),COUNT($A$18:$A459)+1,"")</f>
      </c>
      <c r="B460" s="7">
        <f>IF(OFFSET('Inwentaryzacja'!$A$6,443,0)&lt;&gt;"",OFFSET('Inwentaryzacja'!$A$6,443,0),IF(AND(ISNUMBER($A459),COUNT($A460:$A$517)=0),"Spis zakończono na pozycji "&amp;$A459,""))</f>
      </c>
      <c r="C460" s="7">
        <f>IF(OR(OFFSET('Inwentaryzacja'!$A$6,443,0)="",OFFSET('Inwentaryzacja'!$B$6,443,0)=""),"",OFFSET('Inwentaryzacja'!$B$6,443,0))</f>
      </c>
      <c r="D460" s="7">
        <f>IF(OR(OFFSET('Inwentaryzacja'!$A$6,443,0)="",OFFSET('Inwentaryzacja'!$D$6,443,0)=""),"",OFFSET('Inwentaryzacja'!$D$6,443,0))</f>
      </c>
      <c r="F460" s="8">
        <f>IF(AND(ISNUMBER($D460),ISNUMBER($E460)),ROUND($D460*$E460,2),"")</f>
      </c>
    </row>
    <row r="461">
      <c r="A461" s="7">
        <f>IF(OR(OFFSET('Inwentaryzacja'!$A$6,444,0)&lt;&gt;"",LEN($D461)&gt;0,LEN($E461)&gt;0),COUNT($A$18:$A460)+1,"")</f>
      </c>
      <c r="B461" s="7">
        <f>IF(OFFSET('Inwentaryzacja'!$A$6,444,0)&lt;&gt;"",OFFSET('Inwentaryzacja'!$A$6,444,0),IF(AND(ISNUMBER($A460),COUNT($A461:$A$517)=0),"Spis zakończono na pozycji "&amp;$A460,""))</f>
      </c>
      <c r="C461" s="7">
        <f>IF(OR(OFFSET('Inwentaryzacja'!$A$6,444,0)="",OFFSET('Inwentaryzacja'!$B$6,444,0)=""),"",OFFSET('Inwentaryzacja'!$B$6,444,0))</f>
      </c>
      <c r="D461" s="7">
        <f>IF(OR(OFFSET('Inwentaryzacja'!$A$6,444,0)="",OFFSET('Inwentaryzacja'!$D$6,444,0)=""),"",OFFSET('Inwentaryzacja'!$D$6,444,0))</f>
      </c>
      <c r="F461" s="8">
        <f>IF(AND(ISNUMBER($D461),ISNUMBER($E461)),ROUND($D461*$E461,2),"")</f>
      </c>
    </row>
    <row r="462">
      <c r="A462" s="7">
        <f>IF(OR(OFFSET('Inwentaryzacja'!$A$6,445,0)&lt;&gt;"",LEN($D462)&gt;0,LEN($E462)&gt;0),COUNT($A$18:$A461)+1,"")</f>
      </c>
      <c r="B462" s="7">
        <f>IF(OFFSET('Inwentaryzacja'!$A$6,445,0)&lt;&gt;"",OFFSET('Inwentaryzacja'!$A$6,445,0),IF(AND(ISNUMBER($A461),COUNT($A462:$A$517)=0),"Spis zakończono na pozycji "&amp;$A461,""))</f>
      </c>
      <c r="C462" s="7">
        <f>IF(OR(OFFSET('Inwentaryzacja'!$A$6,445,0)="",OFFSET('Inwentaryzacja'!$B$6,445,0)=""),"",OFFSET('Inwentaryzacja'!$B$6,445,0))</f>
      </c>
      <c r="D462" s="7">
        <f>IF(OR(OFFSET('Inwentaryzacja'!$A$6,445,0)="",OFFSET('Inwentaryzacja'!$D$6,445,0)=""),"",OFFSET('Inwentaryzacja'!$D$6,445,0))</f>
      </c>
      <c r="F462" s="8">
        <f>IF(AND(ISNUMBER($D462),ISNUMBER($E462)),ROUND($D462*$E462,2),"")</f>
      </c>
    </row>
    <row r="463">
      <c r="A463" s="7">
        <f>IF(OR(OFFSET('Inwentaryzacja'!$A$6,446,0)&lt;&gt;"",LEN($D463)&gt;0,LEN($E463)&gt;0),COUNT($A$18:$A462)+1,"")</f>
      </c>
      <c r="B463" s="7">
        <f>IF(OFFSET('Inwentaryzacja'!$A$6,446,0)&lt;&gt;"",OFFSET('Inwentaryzacja'!$A$6,446,0),IF(AND(ISNUMBER($A462),COUNT($A463:$A$517)=0),"Spis zakończono na pozycji "&amp;$A462,""))</f>
      </c>
      <c r="C463" s="7">
        <f>IF(OR(OFFSET('Inwentaryzacja'!$A$6,446,0)="",OFFSET('Inwentaryzacja'!$B$6,446,0)=""),"",OFFSET('Inwentaryzacja'!$B$6,446,0))</f>
      </c>
      <c r="D463" s="7">
        <f>IF(OR(OFFSET('Inwentaryzacja'!$A$6,446,0)="",OFFSET('Inwentaryzacja'!$D$6,446,0)=""),"",OFFSET('Inwentaryzacja'!$D$6,446,0))</f>
      </c>
      <c r="F463" s="8">
        <f>IF(AND(ISNUMBER($D463),ISNUMBER($E463)),ROUND($D463*$E463,2),"")</f>
      </c>
    </row>
    <row r="464">
      <c r="A464" s="7">
        <f>IF(OR(OFFSET('Inwentaryzacja'!$A$6,447,0)&lt;&gt;"",LEN($D464)&gt;0,LEN($E464)&gt;0),COUNT($A$18:$A463)+1,"")</f>
      </c>
      <c r="B464" s="7">
        <f>IF(OFFSET('Inwentaryzacja'!$A$6,447,0)&lt;&gt;"",OFFSET('Inwentaryzacja'!$A$6,447,0),IF(AND(ISNUMBER($A463),COUNT($A464:$A$517)=0),"Spis zakończono na pozycji "&amp;$A463,""))</f>
      </c>
      <c r="C464" s="7">
        <f>IF(OR(OFFSET('Inwentaryzacja'!$A$6,447,0)="",OFFSET('Inwentaryzacja'!$B$6,447,0)=""),"",OFFSET('Inwentaryzacja'!$B$6,447,0))</f>
      </c>
      <c r="D464" s="7">
        <f>IF(OR(OFFSET('Inwentaryzacja'!$A$6,447,0)="",OFFSET('Inwentaryzacja'!$D$6,447,0)=""),"",OFFSET('Inwentaryzacja'!$D$6,447,0))</f>
      </c>
      <c r="F464" s="8">
        <f>IF(AND(ISNUMBER($D464),ISNUMBER($E464)),ROUND($D464*$E464,2),"")</f>
      </c>
    </row>
    <row r="465">
      <c r="A465" s="7">
        <f>IF(OR(OFFSET('Inwentaryzacja'!$A$6,448,0)&lt;&gt;"",LEN($D465)&gt;0,LEN($E465)&gt;0),COUNT($A$18:$A464)+1,"")</f>
      </c>
      <c r="B465" s="7">
        <f>IF(OFFSET('Inwentaryzacja'!$A$6,448,0)&lt;&gt;"",OFFSET('Inwentaryzacja'!$A$6,448,0),IF(AND(ISNUMBER($A464),COUNT($A465:$A$517)=0),"Spis zakończono na pozycji "&amp;$A464,""))</f>
      </c>
      <c r="C465" s="7">
        <f>IF(OR(OFFSET('Inwentaryzacja'!$A$6,448,0)="",OFFSET('Inwentaryzacja'!$B$6,448,0)=""),"",OFFSET('Inwentaryzacja'!$B$6,448,0))</f>
      </c>
      <c r="D465" s="7">
        <f>IF(OR(OFFSET('Inwentaryzacja'!$A$6,448,0)="",OFFSET('Inwentaryzacja'!$D$6,448,0)=""),"",OFFSET('Inwentaryzacja'!$D$6,448,0))</f>
      </c>
      <c r="F465" s="8">
        <f>IF(AND(ISNUMBER($D465),ISNUMBER($E465)),ROUND($D465*$E465,2),"")</f>
      </c>
    </row>
    <row r="466">
      <c r="A466" s="7">
        <f>IF(OR(OFFSET('Inwentaryzacja'!$A$6,449,0)&lt;&gt;"",LEN($D466)&gt;0,LEN($E466)&gt;0),COUNT($A$18:$A465)+1,"")</f>
      </c>
      <c r="B466" s="7">
        <f>IF(OFFSET('Inwentaryzacja'!$A$6,449,0)&lt;&gt;"",OFFSET('Inwentaryzacja'!$A$6,449,0),IF(AND(ISNUMBER($A465),COUNT($A466:$A$517)=0),"Spis zakończono na pozycji "&amp;$A465,""))</f>
      </c>
      <c r="C466" s="7">
        <f>IF(OR(OFFSET('Inwentaryzacja'!$A$6,449,0)="",OFFSET('Inwentaryzacja'!$B$6,449,0)=""),"",OFFSET('Inwentaryzacja'!$B$6,449,0))</f>
      </c>
      <c r="D466" s="7">
        <f>IF(OR(OFFSET('Inwentaryzacja'!$A$6,449,0)="",OFFSET('Inwentaryzacja'!$D$6,449,0)=""),"",OFFSET('Inwentaryzacja'!$D$6,449,0))</f>
      </c>
      <c r="F466" s="8">
        <f>IF(AND(ISNUMBER($D466),ISNUMBER($E466)),ROUND($D466*$E466,2),"")</f>
      </c>
    </row>
    <row r="467">
      <c r="A467" s="7">
        <f>IF(OR(OFFSET('Inwentaryzacja'!$A$6,450,0)&lt;&gt;"",LEN($D467)&gt;0,LEN($E467)&gt;0),COUNT($A$18:$A466)+1,"")</f>
      </c>
      <c r="B467" s="7">
        <f>IF(OFFSET('Inwentaryzacja'!$A$6,450,0)&lt;&gt;"",OFFSET('Inwentaryzacja'!$A$6,450,0),IF(AND(ISNUMBER($A466),COUNT($A467:$A$517)=0),"Spis zakończono na pozycji "&amp;$A466,""))</f>
      </c>
      <c r="C467" s="7">
        <f>IF(OR(OFFSET('Inwentaryzacja'!$A$6,450,0)="",OFFSET('Inwentaryzacja'!$B$6,450,0)=""),"",OFFSET('Inwentaryzacja'!$B$6,450,0))</f>
      </c>
      <c r="D467" s="7">
        <f>IF(OR(OFFSET('Inwentaryzacja'!$A$6,450,0)="",OFFSET('Inwentaryzacja'!$D$6,450,0)=""),"",OFFSET('Inwentaryzacja'!$D$6,450,0))</f>
      </c>
      <c r="F467" s="8">
        <f>IF(AND(ISNUMBER($D467),ISNUMBER($E467)),ROUND($D467*$E467,2),"")</f>
      </c>
    </row>
    <row r="468">
      <c r="A468" s="7">
        <f>IF(OR(OFFSET('Inwentaryzacja'!$A$6,451,0)&lt;&gt;"",LEN($D468)&gt;0,LEN($E468)&gt;0),COUNT($A$18:$A467)+1,"")</f>
      </c>
      <c r="B468" s="7">
        <f>IF(OFFSET('Inwentaryzacja'!$A$6,451,0)&lt;&gt;"",OFFSET('Inwentaryzacja'!$A$6,451,0),IF(AND(ISNUMBER($A467),COUNT($A468:$A$517)=0),"Spis zakończono na pozycji "&amp;$A467,""))</f>
      </c>
      <c r="C468" s="7">
        <f>IF(OR(OFFSET('Inwentaryzacja'!$A$6,451,0)="",OFFSET('Inwentaryzacja'!$B$6,451,0)=""),"",OFFSET('Inwentaryzacja'!$B$6,451,0))</f>
      </c>
      <c r="D468" s="7">
        <f>IF(OR(OFFSET('Inwentaryzacja'!$A$6,451,0)="",OFFSET('Inwentaryzacja'!$D$6,451,0)=""),"",OFFSET('Inwentaryzacja'!$D$6,451,0))</f>
      </c>
      <c r="F468" s="8">
        <f>IF(AND(ISNUMBER($D468),ISNUMBER($E468)),ROUND($D468*$E468,2),"")</f>
      </c>
    </row>
    <row r="469">
      <c r="A469" s="7">
        <f>IF(OR(OFFSET('Inwentaryzacja'!$A$6,452,0)&lt;&gt;"",LEN($D469)&gt;0,LEN($E469)&gt;0),COUNT($A$18:$A468)+1,"")</f>
      </c>
      <c r="B469" s="7">
        <f>IF(OFFSET('Inwentaryzacja'!$A$6,452,0)&lt;&gt;"",OFFSET('Inwentaryzacja'!$A$6,452,0),IF(AND(ISNUMBER($A468),COUNT($A469:$A$517)=0),"Spis zakończono na pozycji "&amp;$A468,""))</f>
      </c>
      <c r="C469" s="7">
        <f>IF(OR(OFFSET('Inwentaryzacja'!$A$6,452,0)="",OFFSET('Inwentaryzacja'!$B$6,452,0)=""),"",OFFSET('Inwentaryzacja'!$B$6,452,0))</f>
      </c>
      <c r="D469" s="7">
        <f>IF(OR(OFFSET('Inwentaryzacja'!$A$6,452,0)="",OFFSET('Inwentaryzacja'!$D$6,452,0)=""),"",OFFSET('Inwentaryzacja'!$D$6,452,0))</f>
      </c>
      <c r="F469" s="8">
        <f>IF(AND(ISNUMBER($D469),ISNUMBER($E469)),ROUND($D469*$E469,2),"")</f>
      </c>
    </row>
    <row r="470">
      <c r="A470" s="7">
        <f>IF(OR(OFFSET('Inwentaryzacja'!$A$6,453,0)&lt;&gt;"",LEN($D470)&gt;0,LEN($E470)&gt;0),COUNT($A$18:$A469)+1,"")</f>
      </c>
      <c r="B470" s="7">
        <f>IF(OFFSET('Inwentaryzacja'!$A$6,453,0)&lt;&gt;"",OFFSET('Inwentaryzacja'!$A$6,453,0),IF(AND(ISNUMBER($A469),COUNT($A470:$A$517)=0),"Spis zakończono na pozycji "&amp;$A469,""))</f>
      </c>
      <c r="C470" s="7">
        <f>IF(OR(OFFSET('Inwentaryzacja'!$A$6,453,0)="",OFFSET('Inwentaryzacja'!$B$6,453,0)=""),"",OFFSET('Inwentaryzacja'!$B$6,453,0))</f>
      </c>
      <c r="D470" s="7">
        <f>IF(OR(OFFSET('Inwentaryzacja'!$A$6,453,0)="",OFFSET('Inwentaryzacja'!$D$6,453,0)=""),"",OFFSET('Inwentaryzacja'!$D$6,453,0))</f>
      </c>
      <c r="F470" s="8">
        <f>IF(AND(ISNUMBER($D470),ISNUMBER($E470)),ROUND($D470*$E470,2),"")</f>
      </c>
    </row>
    <row r="471">
      <c r="A471" s="7">
        <f>IF(OR(OFFSET('Inwentaryzacja'!$A$6,454,0)&lt;&gt;"",LEN($D471)&gt;0,LEN($E471)&gt;0),COUNT($A$18:$A470)+1,"")</f>
      </c>
      <c r="B471" s="7">
        <f>IF(OFFSET('Inwentaryzacja'!$A$6,454,0)&lt;&gt;"",OFFSET('Inwentaryzacja'!$A$6,454,0),IF(AND(ISNUMBER($A470),COUNT($A471:$A$517)=0),"Spis zakończono na pozycji "&amp;$A470,""))</f>
      </c>
      <c r="C471" s="7">
        <f>IF(OR(OFFSET('Inwentaryzacja'!$A$6,454,0)="",OFFSET('Inwentaryzacja'!$B$6,454,0)=""),"",OFFSET('Inwentaryzacja'!$B$6,454,0))</f>
      </c>
      <c r="D471" s="7">
        <f>IF(OR(OFFSET('Inwentaryzacja'!$A$6,454,0)="",OFFSET('Inwentaryzacja'!$D$6,454,0)=""),"",OFFSET('Inwentaryzacja'!$D$6,454,0))</f>
      </c>
      <c r="F471" s="8">
        <f>IF(AND(ISNUMBER($D471),ISNUMBER($E471)),ROUND($D471*$E471,2),"")</f>
      </c>
    </row>
    <row r="472">
      <c r="A472" s="7">
        <f>IF(OR(OFFSET('Inwentaryzacja'!$A$6,455,0)&lt;&gt;"",LEN($D472)&gt;0,LEN($E472)&gt;0),COUNT($A$18:$A471)+1,"")</f>
      </c>
      <c r="B472" s="7">
        <f>IF(OFFSET('Inwentaryzacja'!$A$6,455,0)&lt;&gt;"",OFFSET('Inwentaryzacja'!$A$6,455,0),IF(AND(ISNUMBER($A471),COUNT($A472:$A$517)=0),"Spis zakończono na pozycji "&amp;$A471,""))</f>
      </c>
      <c r="C472" s="7">
        <f>IF(OR(OFFSET('Inwentaryzacja'!$A$6,455,0)="",OFFSET('Inwentaryzacja'!$B$6,455,0)=""),"",OFFSET('Inwentaryzacja'!$B$6,455,0))</f>
      </c>
      <c r="D472" s="7">
        <f>IF(OR(OFFSET('Inwentaryzacja'!$A$6,455,0)="",OFFSET('Inwentaryzacja'!$D$6,455,0)=""),"",OFFSET('Inwentaryzacja'!$D$6,455,0))</f>
      </c>
      <c r="F472" s="8">
        <f>IF(AND(ISNUMBER($D472),ISNUMBER($E472)),ROUND($D472*$E472,2),"")</f>
      </c>
    </row>
    <row r="473">
      <c r="A473" s="7">
        <f>IF(OR(OFFSET('Inwentaryzacja'!$A$6,456,0)&lt;&gt;"",LEN($D473)&gt;0,LEN($E473)&gt;0),COUNT($A$18:$A472)+1,"")</f>
      </c>
      <c r="B473" s="7">
        <f>IF(OFFSET('Inwentaryzacja'!$A$6,456,0)&lt;&gt;"",OFFSET('Inwentaryzacja'!$A$6,456,0),IF(AND(ISNUMBER($A472),COUNT($A473:$A$517)=0),"Spis zakończono na pozycji "&amp;$A472,""))</f>
      </c>
      <c r="C473" s="7">
        <f>IF(OR(OFFSET('Inwentaryzacja'!$A$6,456,0)="",OFFSET('Inwentaryzacja'!$B$6,456,0)=""),"",OFFSET('Inwentaryzacja'!$B$6,456,0))</f>
      </c>
      <c r="D473" s="7">
        <f>IF(OR(OFFSET('Inwentaryzacja'!$A$6,456,0)="",OFFSET('Inwentaryzacja'!$D$6,456,0)=""),"",OFFSET('Inwentaryzacja'!$D$6,456,0))</f>
      </c>
      <c r="F473" s="8">
        <f>IF(AND(ISNUMBER($D473),ISNUMBER($E473)),ROUND($D473*$E473,2),"")</f>
      </c>
    </row>
    <row r="474">
      <c r="A474" s="7">
        <f>IF(OR(OFFSET('Inwentaryzacja'!$A$6,457,0)&lt;&gt;"",LEN($D474)&gt;0,LEN($E474)&gt;0),COUNT($A$18:$A473)+1,"")</f>
      </c>
      <c r="B474" s="7">
        <f>IF(OFFSET('Inwentaryzacja'!$A$6,457,0)&lt;&gt;"",OFFSET('Inwentaryzacja'!$A$6,457,0),IF(AND(ISNUMBER($A473),COUNT($A474:$A$517)=0),"Spis zakończono na pozycji "&amp;$A473,""))</f>
      </c>
      <c r="C474" s="7">
        <f>IF(OR(OFFSET('Inwentaryzacja'!$A$6,457,0)="",OFFSET('Inwentaryzacja'!$B$6,457,0)=""),"",OFFSET('Inwentaryzacja'!$B$6,457,0))</f>
      </c>
      <c r="D474" s="7">
        <f>IF(OR(OFFSET('Inwentaryzacja'!$A$6,457,0)="",OFFSET('Inwentaryzacja'!$D$6,457,0)=""),"",OFFSET('Inwentaryzacja'!$D$6,457,0))</f>
      </c>
      <c r="F474" s="8">
        <f>IF(AND(ISNUMBER($D474),ISNUMBER($E474)),ROUND($D474*$E474,2),"")</f>
      </c>
    </row>
    <row r="475">
      <c r="A475" s="7">
        <f>IF(OR(OFFSET('Inwentaryzacja'!$A$6,458,0)&lt;&gt;"",LEN($D475)&gt;0,LEN($E475)&gt;0),COUNT($A$18:$A474)+1,"")</f>
      </c>
      <c r="B475" s="7">
        <f>IF(OFFSET('Inwentaryzacja'!$A$6,458,0)&lt;&gt;"",OFFSET('Inwentaryzacja'!$A$6,458,0),IF(AND(ISNUMBER($A474),COUNT($A475:$A$517)=0),"Spis zakończono na pozycji "&amp;$A474,""))</f>
      </c>
      <c r="C475" s="7">
        <f>IF(OR(OFFSET('Inwentaryzacja'!$A$6,458,0)="",OFFSET('Inwentaryzacja'!$B$6,458,0)=""),"",OFFSET('Inwentaryzacja'!$B$6,458,0))</f>
      </c>
      <c r="D475" s="7">
        <f>IF(OR(OFFSET('Inwentaryzacja'!$A$6,458,0)="",OFFSET('Inwentaryzacja'!$D$6,458,0)=""),"",OFFSET('Inwentaryzacja'!$D$6,458,0))</f>
      </c>
      <c r="F475" s="8">
        <f>IF(AND(ISNUMBER($D475),ISNUMBER($E475)),ROUND($D475*$E475,2),"")</f>
      </c>
    </row>
    <row r="476">
      <c r="A476" s="7">
        <f>IF(OR(OFFSET('Inwentaryzacja'!$A$6,459,0)&lt;&gt;"",LEN($D476)&gt;0,LEN($E476)&gt;0),COUNT($A$18:$A475)+1,"")</f>
      </c>
      <c r="B476" s="7">
        <f>IF(OFFSET('Inwentaryzacja'!$A$6,459,0)&lt;&gt;"",OFFSET('Inwentaryzacja'!$A$6,459,0),IF(AND(ISNUMBER($A475),COUNT($A476:$A$517)=0),"Spis zakończono na pozycji "&amp;$A475,""))</f>
      </c>
      <c r="C476" s="7">
        <f>IF(OR(OFFSET('Inwentaryzacja'!$A$6,459,0)="",OFFSET('Inwentaryzacja'!$B$6,459,0)=""),"",OFFSET('Inwentaryzacja'!$B$6,459,0))</f>
      </c>
      <c r="D476" s="7">
        <f>IF(OR(OFFSET('Inwentaryzacja'!$A$6,459,0)="",OFFSET('Inwentaryzacja'!$D$6,459,0)=""),"",OFFSET('Inwentaryzacja'!$D$6,459,0))</f>
      </c>
      <c r="F476" s="8">
        <f>IF(AND(ISNUMBER($D476),ISNUMBER($E476)),ROUND($D476*$E476,2),"")</f>
      </c>
    </row>
    <row r="477">
      <c r="A477" s="7">
        <f>IF(OR(OFFSET('Inwentaryzacja'!$A$6,460,0)&lt;&gt;"",LEN($D477)&gt;0,LEN($E477)&gt;0),COUNT($A$18:$A476)+1,"")</f>
      </c>
      <c r="B477" s="7">
        <f>IF(OFFSET('Inwentaryzacja'!$A$6,460,0)&lt;&gt;"",OFFSET('Inwentaryzacja'!$A$6,460,0),IF(AND(ISNUMBER($A476),COUNT($A477:$A$517)=0),"Spis zakończono na pozycji "&amp;$A476,""))</f>
      </c>
      <c r="C477" s="7">
        <f>IF(OR(OFFSET('Inwentaryzacja'!$A$6,460,0)="",OFFSET('Inwentaryzacja'!$B$6,460,0)=""),"",OFFSET('Inwentaryzacja'!$B$6,460,0))</f>
      </c>
      <c r="D477" s="7">
        <f>IF(OR(OFFSET('Inwentaryzacja'!$A$6,460,0)="",OFFSET('Inwentaryzacja'!$D$6,460,0)=""),"",OFFSET('Inwentaryzacja'!$D$6,460,0))</f>
      </c>
      <c r="F477" s="8">
        <f>IF(AND(ISNUMBER($D477),ISNUMBER($E477)),ROUND($D477*$E477,2),"")</f>
      </c>
    </row>
    <row r="478">
      <c r="A478" s="7">
        <f>IF(OR(OFFSET('Inwentaryzacja'!$A$6,461,0)&lt;&gt;"",LEN($D478)&gt;0,LEN($E478)&gt;0),COUNT($A$18:$A477)+1,"")</f>
      </c>
      <c r="B478" s="7">
        <f>IF(OFFSET('Inwentaryzacja'!$A$6,461,0)&lt;&gt;"",OFFSET('Inwentaryzacja'!$A$6,461,0),IF(AND(ISNUMBER($A477),COUNT($A478:$A$517)=0),"Spis zakończono na pozycji "&amp;$A477,""))</f>
      </c>
      <c r="C478" s="7">
        <f>IF(OR(OFFSET('Inwentaryzacja'!$A$6,461,0)="",OFFSET('Inwentaryzacja'!$B$6,461,0)=""),"",OFFSET('Inwentaryzacja'!$B$6,461,0))</f>
      </c>
      <c r="D478" s="7">
        <f>IF(OR(OFFSET('Inwentaryzacja'!$A$6,461,0)="",OFFSET('Inwentaryzacja'!$D$6,461,0)=""),"",OFFSET('Inwentaryzacja'!$D$6,461,0))</f>
      </c>
      <c r="F478" s="8">
        <f>IF(AND(ISNUMBER($D478),ISNUMBER($E478)),ROUND($D478*$E478,2),"")</f>
      </c>
    </row>
    <row r="479">
      <c r="A479" s="7">
        <f>IF(OR(OFFSET('Inwentaryzacja'!$A$6,462,0)&lt;&gt;"",LEN($D479)&gt;0,LEN($E479)&gt;0),COUNT($A$18:$A478)+1,"")</f>
      </c>
      <c r="B479" s="7">
        <f>IF(OFFSET('Inwentaryzacja'!$A$6,462,0)&lt;&gt;"",OFFSET('Inwentaryzacja'!$A$6,462,0),IF(AND(ISNUMBER($A478),COUNT($A479:$A$517)=0),"Spis zakończono na pozycji "&amp;$A478,""))</f>
      </c>
      <c r="C479" s="7">
        <f>IF(OR(OFFSET('Inwentaryzacja'!$A$6,462,0)="",OFFSET('Inwentaryzacja'!$B$6,462,0)=""),"",OFFSET('Inwentaryzacja'!$B$6,462,0))</f>
      </c>
      <c r="D479" s="7">
        <f>IF(OR(OFFSET('Inwentaryzacja'!$A$6,462,0)="",OFFSET('Inwentaryzacja'!$D$6,462,0)=""),"",OFFSET('Inwentaryzacja'!$D$6,462,0))</f>
      </c>
      <c r="F479" s="8">
        <f>IF(AND(ISNUMBER($D479),ISNUMBER($E479)),ROUND($D479*$E479,2),"")</f>
      </c>
    </row>
    <row r="480">
      <c r="A480" s="7">
        <f>IF(OR(OFFSET('Inwentaryzacja'!$A$6,463,0)&lt;&gt;"",LEN($D480)&gt;0,LEN($E480)&gt;0),COUNT($A$18:$A479)+1,"")</f>
      </c>
      <c r="B480" s="7">
        <f>IF(OFFSET('Inwentaryzacja'!$A$6,463,0)&lt;&gt;"",OFFSET('Inwentaryzacja'!$A$6,463,0),IF(AND(ISNUMBER($A479),COUNT($A480:$A$517)=0),"Spis zakończono na pozycji "&amp;$A479,""))</f>
      </c>
      <c r="C480" s="7">
        <f>IF(OR(OFFSET('Inwentaryzacja'!$A$6,463,0)="",OFFSET('Inwentaryzacja'!$B$6,463,0)=""),"",OFFSET('Inwentaryzacja'!$B$6,463,0))</f>
      </c>
      <c r="D480" s="7">
        <f>IF(OR(OFFSET('Inwentaryzacja'!$A$6,463,0)="",OFFSET('Inwentaryzacja'!$D$6,463,0)=""),"",OFFSET('Inwentaryzacja'!$D$6,463,0))</f>
      </c>
      <c r="F480" s="8">
        <f>IF(AND(ISNUMBER($D480),ISNUMBER($E480)),ROUND($D480*$E480,2),"")</f>
      </c>
    </row>
    <row r="481">
      <c r="A481" s="7">
        <f>IF(OR(OFFSET('Inwentaryzacja'!$A$6,464,0)&lt;&gt;"",LEN($D481)&gt;0,LEN($E481)&gt;0),COUNT($A$18:$A480)+1,"")</f>
      </c>
      <c r="B481" s="7">
        <f>IF(OFFSET('Inwentaryzacja'!$A$6,464,0)&lt;&gt;"",OFFSET('Inwentaryzacja'!$A$6,464,0),IF(AND(ISNUMBER($A480),COUNT($A481:$A$517)=0),"Spis zakończono na pozycji "&amp;$A480,""))</f>
      </c>
      <c r="C481" s="7">
        <f>IF(OR(OFFSET('Inwentaryzacja'!$A$6,464,0)="",OFFSET('Inwentaryzacja'!$B$6,464,0)=""),"",OFFSET('Inwentaryzacja'!$B$6,464,0))</f>
      </c>
      <c r="D481" s="7">
        <f>IF(OR(OFFSET('Inwentaryzacja'!$A$6,464,0)="",OFFSET('Inwentaryzacja'!$D$6,464,0)=""),"",OFFSET('Inwentaryzacja'!$D$6,464,0))</f>
      </c>
      <c r="F481" s="8">
        <f>IF(AND(ISNUMBER($D481),ISNUMBER($E481)),ROUND($D481*$E481,2),"")</f>
      </c>
    </row>
    <row r="482">
      <c r="A482" s="7">
        <f>IF(OR(OFFSET('Inwentaryzacja'!$A$6,465,0)&lt;&gt;"",LEN($D482)&gt;0,LEN($E482)&gt;0),COUNT($A$18:$A481)+1,"")</f>
      </c>
      <c r="B482" s="7">
        <f>IF(OFFSET('Inwentaryzacja'!$A$6,465,0)&lt;&gt;"",OFFSET('Inwentaryzacja'!$A$6,465,0),IF(AND(ISNUMBER($A481),COUNT($A482:$A$517)=0),"Spis zakończono na pozycji "&amp;$A481,""))</f>
      </c>
      <c r="C482" s="7">
        <f>IF(OR(OFFSET('Inwentaryzacja'!$A$6,465,0)="",OFFSET('Inwentaryzacja'!$B$6,465,0)=""),"",OFFSET('Inwentaryzacja'!$B$6,465,0))</f>
      </c>
      <c r="D482" s="7">
        <f>IF(OR(OFFSET('Inwentaryzacja'!$A$6,465,0)="",OFFSET('Inwentaryzacja'!$D$6,465,0)=""),"",OFFSET('Inwentaryzacja'!$D$6,465,0))</f>
      </c>
      <c r="F482" s="8">
        <f>IF(AND(ISNUMBER($D482),ISNUMBER($E482)),ROUND($D482*$E482,2),"")</f>
      </c>
    </row>
    <row r="483">
      <c r="A483" s="7">
        <f>IF(OR(OFFSET('Inwentaryzacja'!$A$6,466,0)&lt;&gt;"",LEN($D483)&gt;0,LEN($E483)&gt;0),COUNT($A$18:$A482)+1,"")</f>
      </c>
      <c r="B483" s="7">
        <f>IF(OFFSET('Inwentaryzacja'!$A$6,466,0)&lt;&gt;"",OFFSET('Inwentaryzacja'!$A$6,466,0),IF(AND(ISNUMBER($A482),COUNT($A483:$A$517)=0),"Spis zakończono na pozycji "&amp;$A482,""))</f>
      </c>
      <c r="C483" s="7">
        <f>IF(OR(OFFSET('Inwentaryzacja'!$A$6,466,0)="",OFFSET('Inwentaryzacja'!$B$6,466,0)=""),"",OFFSET('Inwentaryzacja'!$B$6,466,0))</f>
      </c>
      <c r="D483" s="7">
        <f>IF(OR(OFFSET('Inwentaryzacja'!$A$6,466,0)="",OFFSET('Inwentaryzacja'!$D$6,466,0)=""),"",OFFSET('Inwentaryzacja'!$D$6,466,0))</f>
      </c>
      <c r="F483" s="8">
        <f>IF(AND(ISNUMBER($D483),ISNUMBER($E483)),ROUND($D483*$E483,2),"")</f>
      </c>
    </row>
    <row r="484">
      <c r="A484" s="7">
        <f>IF(OR(OFFSET('Inwentaryzacja'!$A$6,467,0)&lt;&gt;"",LEN($D484)&gt;0,LEN($E484)&gt;0),COUNT($A$18:$A483)+1,"")</f>
      </c>
      <c r="B484" s="7">
        <f>IF(OFFSET('Inwentaryzacja'!$A$6,467,0)&lt;&gt;"",OFFSET('Inwentaryzacja'!$A$6,467,0),IF(AND(ISNUMBER($A483),COUNT($A484:$A$517)=0),"Spis zakończono na pozycji "&amp;$A483,""))</f>
      </c>
      <c r="C484" s="7">
        <f>IF(OR(OFFSET('Inwentaryzacja'!$A$6,467,0)="",OFFSET('Inwentaryzacja'!$B$6,467,0)=""),"",OFFSET('Inwentaryzacja'!$B$6,467,0))</f>
      </c>
      <c r="D484" s="7">
        <f>IF(OR(OFFSET('Inwentaryzacja'!$A$6,467,0)="",OFFSET('Inwentaryzacja'!$D$6,467,0)=""),"",OFFSET('Inwentaryzacja'!$D$6,467,0))</f>
      </c>
      <c r="F484" s="8">
        <f>IF(AND(ISNUMBER($D484),ISNUMBER($E484)),ROUND($D484*$E484,2),"")</f>
      </c>
    </row>
    <row r="485">
      <c r="A485" s="7">
        <f>IF(OR(OFFSET('Inwentaryzacja'!$A$6,468,0)&lt;&gt;"",LEN($D485)&gt;0,LEN($E485)&gt;0),COUNT($A$18:$A484)+1,"")</f>
      </c>
      <c r="B485" s="7">
        <f>IF(OFFSET('Inwentaryzacja'!$A$6,468,0)&lt;&gt;"",OFFSET('Inwentaryzacja'!$A$6,468,0),IF(AND(ISNUMBER($A484),COUNT($A485:$A$517)=0),"Spis zakończono na pozycji "&amp;$A484,""))</f>
      </c>
      <c r="C485" s="7">
        <f>IF(OR(OFFSET('Inwentaryzacja'!$A$6,468,0)="",OFFSET('Inwentaryzacja'!$B$6,468,0)=""),"",OFFSET('Inwentaryzacja'!$B$6,468,0))</f>
      </c>
      <c r="D485" s="7">
        <f>IF(OR(OFFSET('Inwentaryzacja'!$A$6,468,0)="",OFFSET('Inwentaryzacja'!$D$6,468,0)=""),"",OFFSET('Inwentaryzacja'!$D$6,468,0))</f>
      </c>
      <c r="F485" s="8">
        <f>IF(AND(ISNUMBER($D485),ISNUMBER($E485)),ROUND($D485*$E485,2),"")</f>
      </c>
    </row>
    <row r="486">
      <c r="A486" s="7">
        <f>IF(OR(OFFSET('Inwentaryzacja'!$A$6,469,0)&lt;&gt;"",LEN($D486)&gt;0,LEN($E486)&gt;0),COUNT($A$18:$A485)+1,"")</f>
      </c>
      <c r="B486" s="7">
        <f>IF(OFFSET('Inwentaryzacja'!$A$6,469,0)&lt;&gt;"",OFFSET('Inwentaryzacja'!$A$6,469,0),IF(AND(ISNUMBER($A485),COUNT($A486:$A$517)=0),"Spis zakończono na pozycji "&amp;$A485,""))</f>
      </c>
      <c r="C486" s="7">
        <f>IF(OR(OFFSET('Inwentaryzacja'!$A$6,469,0)="",OFFSET('Inwentaryzacja'!$B$6,469,0)=""),"",OFFSET('Inwentaryzacja'!$B$6,469,0))</f>
      </c>
      <c r="D486" s="7">
        <f>IF(OR(OFFSET('Inwentaryzacja'!$A$6,469,0)="",OFFSET('Inwentaryzacja'!$D$6,469,0)=""),"",OFFSET('Inwentaryzacja'!$D$6,469,0))</f>
      </c>
      <c r="F486" s="8">
        <f>IF(AND(ISNUMBER($D486),ISNUMBER($E486)),ROUND($D486*$E486,2),"")</f>
      </c>
    </row>
    <row r="487">
      <c r="A487" s="7">
        <f>IF(OR(OFFSET('Inwentaryzacja'!$A$6,470,0)&lt;&gt;"",LEN($D487)&gt;0,LEN($E487)&gt;0),COUNT($A$18:$A486)+1,"")</f>
      </c>
      <c r="B487" s="7">
        <f>IF(OFFSET('Inwentaryzacja'!$A$6,470,0)&lt;&gt;"",OFFSET('Inwentaryzacja'!$A$6,470,0),IF(AND(ISNUMBER($A486),COUNT($A487:$A$517)=0),"Spis zakończono na pozycji "&amp;$A486,""))</f>
      </c>
      <c r="C487" s="7">
        <f>IF(OR(OFFSET('Inwentaryzacja'!$A$6,470,0)="",OFFSET('Inwentaryzacja'!$B$6,470,0)=""),"",OFFSET('Inwentaryzacja'!$B$6,470,0))</f>
      </c>
      <c r="D487" s="7">
        <f>IF(OR(OFFSET('Inwentaryzacja'!$A$6,470,0)="",OFFSET('Inwentaryzacja'!$D$6,470,0)=""),"",OFFSET('Inwentaryzacja'!$D$6,470,0))</f>
      </c>
      <c r="F487" s="8">
        <f>IF(AND(ISNUMBER($D487),ISNUMBER($E487)),ROUND($D487*$E487,2),"")</f>
      </c>
    </row>
    <row r="488">
      <c r="A488" s="7">
        <f>IF(OR(OFFSET('Inwentaryzacja'!$A$6,471,0)&lt;&gt;"",LEN($D488)&gt;0,LEN($E488)&gt;0),COUNT($A$18:$A487)+1,"")</f>
      </c>
      <c r="B488" s="7">
        <f>IF(OFFSET('Inwentaryzacja'!$A$6,471,0)&lt;&gt;"",OFFSET('Inwentaryzacja'!$A$6,471,0),IF(AND(ISNUMBER($A487),COUNT($A488:$A$517)=0),"Spis zakończono na pozycji "&amp;$A487,""))</f>
      </c>
      <c r="C488" s="7">
        <f>IF(OR(OFFSET('Inwentaryzacja'!$A$6,471,0)="",OFFSET('Inwentaryzacja'!$B$6,471,0)=""),"",OFFSET('Inwentaryzacja'!$B$6,471,0))</f>
      </c>
      <c r="D488" s="7">
        <f>IF(OR(OFFSET('Inwentaryzacja'!$A$6,471,0)="",OFFSET('Inwentaryzacja'!$D$6,471,0)=""),"",OFFSET('Inwentaryzacja'!$D$6,471,0))</f>
      </c>
      <c r="F488" s="8">
        <f>IF(AND(ISNUMBER($D488),ISNUMBER($E488)),ROUND($D488*$E488,2),"")</f>
      </c>
    </row>
    <row r="489">
      <c r="A489" s="7">
        <f>IF(OR(OFFSET('Inwentaryzacja'!$A$6,472,0)&lt;&gt;"",LEN($D489)&gt;0,LEN($E489)&gt;0),COUNT($A$18:$A488)+1,"")</f>
      </c>
      <c r="B489" s="7">
        <f>IF(OFFSET('Inwentaryzacja'!$A$6,472,0)&lt;&gt;"",OFFSET('Inwentaryzacja'!$A$6,472,0),IF(AND(ISNUMBER($A488),COUNT($A489:$A$517)=0),"Spis zakończono na pozycji "&amp;$A488,""))</f>
      </c>
      <c r="C489" s="7">
        <f>IF(OR(OFFSET('Inwentaryzacja'!$A$6,472,0)="",OFFSET('Inwentaryzacja'!$B$6,472,0)=""),"",OFFSET('Inwentaryzacja'!$B$6,472,0))</f>
      </c>
      <c r="D489" s="7">
        <f>IF(OR(OFFSET('Inwentaryzacja'!$A$6,472,0)="",OFFSET('Inwentaryzacja'!$D$6,472,0)=""),"",OFFSET('Inwentaryzacja'!$D$6,472,0))</f>
      </c>
      <c r="F489" s="8">
        <f>IF(AND(ISNUMBER($D489),ISNUMBER($E489)),ROUND($D489*$E489,2),"")</f>
      </c>
    </row>
    <row r="490">
      <c r="A490" s="7">
        <f>IF(OR(OFFSET('Inwentaryzacja'!$A$6,473,0)&lt;&gt;"",LEN($D490)&gt;0,LEN($E490)&gt;0),COUNT($A$18:$A489)+1,"")</f>
      </c>
      <c r="B490" s="7">
        <f>IF(OFFSET('Inwentaryzacja'!$A$6,473,0)&lt;&gt;"",OFFSET('Inwentaryzacja'!$A$6,473,0),IF(AND(ISNUMBER($A489),COUNT($A490:$A$517)=0),"Spis zakończono na pozycji "&amp;$A489,""))</f>
      </c>
      <c r="C490" s="7">
        <f>IF(OR(OFFSET('Inwentaryzacja'!$A$6,473,0)="",OFFSET('Inwentaryzacja'!$B$6,473,0)=""),"",OFFSET('Inwentaryzacja'!$B$6,473,0))</f>
      </c>
      <c r="D490" s="7">
        <f>IF(OR(OFFSET('Inwentaryzacja'!$A$6,473,0)="",OFFSET('Inwentaryzacja'!$D$6,473,0)=""),"",OFFSET('Inwentaryzacja'!$D$6,473,0))</f>
      </c>
      <c r="F490" s="8">
        <f>IF(AND(ISNUMBER($D490),ISNUMBER($E490)),ROUND($D490*$E490,2),"")</f>
      </c>
    </row>
    <row r="491">
      <c r="A491" s="7">
        <f>IF(OR(OFFSET('Inwentaryzacja'!$A$6,474,0)&lt;&gt;"",LEN($D491)&gt;0,LEN($E491)&gt;0),COUNT($A$18:$A490)+1,"")</f>
      </c>
      <c r="B491" s="7">
        <f>IF(OFFSET('Inwentaryzacja'!$A$6,474,0)&lt;&gt;"",OFFSET('Inwentaryzacja'!$A$6,474,0),IF(AND(ISNUMBER($A490),COUNT($A491:$A$517)=0),"Spis zakończono na pozycji "&amp;$A490,""))</f>
      </c>
      <c r="C491" s="7">
        <f>IF(OR(OFFSET('Inwentaryzacja'!$A$6,474,0)="",OFFSET('Inwentaryzacja'!$B$6,474,0)=""),"",OFFSET('Inwentaryzacja'!$B$6,474,0))</f>
      </c>
      <c r="D491" s="7">
        <f>IF(OR(OFFSET('Inwentaryzacja'!$A$6,474,0)="",OFFSET('Inwentaryzacja'!$D$6,474,0)=""),"",OFFSET('Inwentaryzacja'!$D$6,474,0))</f>
      </c>
      <c r="F491" s="8">
        <f>IF(AND(ISNUMBER($D491),ISNUMBER($E491)),ROUND($D491*$E491,2),"")</f>
      </c>
    </row>
    <row r="492">
      <c r="A492" s="7">
        <f>IF(OR(OFFSET('Inwentaryzacja'!$A$6,475,0)&lt;&gt;"",LEN($D492)&gt;0,LEN($E492)&gt;0),COUNT($A$18:$A491)+1,"")</f>
      </c>
      <c r="B492" s="7">
        <f>IF(OFFSET('Inwentaryzacja'!$A$6,475,0)&lt;&gt;"",OFFSET('Inwentaryzacja'!$A$6,475,0),IF(AND(ISNUMBER($A491),COUNT($A492:$A$517)=0),"Spis zakończono na pozycji "&amp;$A491,""))</f>
      </c>
      <c r="C492" s="7">
        <f>IF(OR(OFFSET('Inwentaryzacja'!$A$6,475,0)="",OFFSET('Inwentaryzacja'!$B$6,475,0)=""),"",OFFSET('Inwentaryzacja'!$B$6,475,0))</f>
      </c>
      <c r="D492" s="7">
        <f>IF(OR(OFFSET('Inwentaryzacja'!$A$6,475,0)="",OFFSET('Inwentaryzacja'!$D$6,475,0)=""),"",OFFSET('Inwentaryzacja'!$D$6,475,0))</f>
      </c>
      <c r="F492" s="8">
        <f>IF(AND(ISNUMBER($D492),ISNUMBER($E492)),ROUND($D492*$E492,2),"")</f>
      </c>
    </row>
    <row r="493">
      <c r="A493" s="7">
        <f>IF(OR(OFFSET('Inwentaryzacja'!$A$6,476,0)&lt;&gt;"",LEN($D493)&gt;0,LEN($E493)&gt;0),COUNT($A$18:$A492)+1,"")</f>
      </c>
      <c r="B493" s="7">
        <f>IF(OFFSET('Inwentaryzacja'!$A$6,476,0)&lt;&gt;"",OFFSET('Inwentaryzacja'!$A$6,476,0),IF(AND(ISNUMBER($A492),COUNT($A493:$A$517)=0),"Spis zakończono na pozycji "&amp;$A492,""))</f>
      </c>
      <c r="C493" s="7">
        <f>IF(OR(OFFSET('Inwentaryzacja'!$A$6,476,0)="",OFFSET('Inwentaryzacja'!$B$6,476,0)=""),"",OFFSET('Inwentaryzacja'!$B$6,476,0))</f>
      </c>
      <c r="D493" s="7">
        <f>IF(OR(OFFSET('Inwentaryzacja'!$A$6,476,0)="",OFFSET('Inwentaryzacja'!$D$6,476,0)=""),"",OFFSET('Inwentaryzacja'!$D$6,476,0))</f>
      </c>
      <c r="F493" s="8">
        <f>IF(AND(ISNUMBER($D493),ISNUMBER($E493)),ROUND($D493*$E493,2),"")</f>
      </c>
    </row>
    <row r="494">
      <c r="A494" s="7">
        <f>IF(OR(OFFSET('Inwentaryzacja'!$A$6,477,0)&lt;&gt;"",LEN($D494)&gt;0,LEN($E494)&gt;0),COUNT($A$18:$A493)+1,"")</f>
      </c>
      <c r="B494" s="7">
        <f>IF(OFFSET('Inwentaryzacja'!$A$6,477,0)&lt;&gt;"",OFFSET('Inwentaryzacja'!$A$6,477,0),IF(AND(ISNUMBER($A493),COUNT($A494:$A$517)=0),"Spis zakończono na pozycji "&amp;$A493,""))</f>
      </c>
      <c r="C494" s="7">
        <f>IF(OR(OFFSET('Inwentaryzacja'!$A$6,477,0)="",OFFSET('Inwentaryzacja'!$B$6,477,0)=""),"",OFFSET('Inwentaryzacja'!$B$6,477,0))</f>
      </c>
      <c r="D494" s="7">
        <f>IF(OR(OFFSET('Inwentaryzacja'!$A$6,477,0)="",OFFSET('Inwentaryzacja'!$D$6,477,0)=""),"",OFFSET('Inwentaryzacja'!$D$6,477,0))</f>
      </c>
      <c r="F494" s="8">
        <f>IF(AND(ISNUMBER($D494),ISNUMBER($E494)),ROUND($D494*$E494,2),"")</f>
      </c>
    </row>
    <row r="495">
      <c r="A495" s="7">
        <f>IF(OR(OFFSET('Inwentaryzacja'!$A$6,478,0)&lt;&gt;"",LEN($D495)&gt;0,LEN($E495)&gt;0),COUNT($A$18:$A494)+1,"")</f>
      </c>
      <c r="B495" s="7">
        <f>IF(OFFSET('Inwentaryzacja'!$A$6,478,0)&lt;&gt;"",OFFSET('Inwentaryzacja'!$A$6,478,0),IF(AND(ISNUMBER($A494),COUNT($A495:$A$517)=0),"Spis zakończono na pozycji "&amp;$A494,""))</f>
      </c>
      <c r="C495" s="7">
        <f>IF(OR(OFFSET('Inwentaryzacja'!$A$6,478,0)="",OFFSET('Inwentaryzacja'!$B$6,478,0)=""),"",OFFSET('Inwentaryzacja'!$B$6,478,0))</f>
      </c>
      <c r="D495" s="7">
        <f>IF(OR(OFFSET('Inwentaryzacja'!$A$6,478,0)="",OFFSET('Inwentaryzacja'!$D$6,478,0)=""),"",OFFSET('Inwentaryzacja'!$D$6,478,0))</f>
      </c>
      <c r="F495" s="8">
        <f>IF(AND(ISNUMBER($D495),ISNUMBER($E495)),ROUND($D495*$E495,2),"")</f>
      </c>
    </row>
    <row r="496">
      <c r="A496" s="7">
        <f>IF(OR(OFFSET('Inwentaryzacja'!$A$6,479,0)&lt;&gt;"",LEN($D496)&gt;0,LEN($E496)&gt;0),COUNT($A$18:$A495)+1,"")</f>
      </c>
      <c r="B496" s="7">
        <f>IF(OFFSET('Inwentaryzacja'!$A$6,479,0)&lt;&gt;"",OFFSET('Inwentaryzacja'!$A$6,479,0),IF(AND(ISNUMBER($A495),COUNT($A496:$A$517)=0),"Spis zakończono na pozycji "&amp;$A495,""))</f>
      </c>
      <c r="C496" s="7">
        <f>IF(OR(OFFSET('Inwentaryzacja'!$A$6,479,0)="",OFFSET('Inwentaryzacja'!$B$6,479,0)=""),"",OFFSET('Inwentaryzacja'!$B$6,479,0))</f>
      </c>
      <c r="D496" s="7">
        <f>IF(OR(OFFSET('Inwentaryzacja'!$A$6,479,0)="",OFFSET('Inwentaryzacja'!$D$6,479,0)=""),"",OFFSET('Inwentaryzacja'!$D$6,479,0))</f>
      </c>
      <c r="F496" s="8">
        <f>IF(AND(ISNUMBER($D496),ISNUMBER($E496)),ROUND($D496*$E496,2),"")</f>
      </c>
    </row>
    <row r="497">
      <c r="A497" s="7">
        <f>IF(OR(OFFSET('Inwentaryzacja'!$A$6,480,0)&lt;&gt;"",LEN($D497)&gt;0,LEN($E497)&gt;0),COUNT($A$18:$A496)+1,"")</f>
      </c>
      <c r="B497" s="7">
        <f>IF(OFFSET('Inwentaryzacja'!$A$6,480,0)&lt;&gt;"",OFFSET('Inwentaryzacja'!$A$6,480,0),IF(AND(ISNUMBER($A496),COUNT($A497:$A$517)=0),"Spis zakończono na pozycji "&amp;$A496,""))</f>
      </c>
      <c r="C497" s="7">
        <f>IF(OR(OFFSET('Inwentaryzacja'!$A$6,480,0)="",OFFSET('Inwentaryzacja'!$B$6,480,0)=""),"",OFFSET('Inwentaryzacja'!$B$6,480,0))</f>
      </c>
      <c r="D497" s="7">
        <f>IF(OR(OFFSET('Inwentaryzacja'!$A$6,480,0)="",OFFSET('Inwentaryzacja'!$D$6,480,0)=""),"",OFFSET('Inwentaryzacja'!$D$6,480,0))</f>
      </c>
      <c r="F497" s="8">
        <f>IF(AND(ISNUMBER($D497),ISNUMBER($E497)),ROUND($D497*$E497,2),"")</f>
      </c>
    </row>
    <row r="498">
      <c r="A498" s="7">
        <f>IF(OR(OFFSET('Inwentaryzacja'!$A$6,481,0)&lt;&gt;"",LEN($D498)&gt;0,LEN($E498)&gt;0),COUNT($A$18:$A497)+1,"")</f>
      </c>
      <c r="B498" s="7">
        <f>IF(OFFSET('Inwentaryzacja'!$A$6,481,0)&lt;&gt;"",OFFSET('Inwentaryzacja'!$A$6,481,0),IF(AND(ISNUMBER($A497),COUNT($A498:$A$517)=0),"Spis zakończono na pozycji "&amp;$A497,""))</f>
      </c>
      <c r="C498" s="7">
        <f>IF(OR(OFFSET('Inwentaryzacja'!$A$6,481,0)="",OFFSET('Inwentaryzacja'!$B$6,481,0)=""),"",OFFSET('Inwentaryzacja'!$B$6,481,0))</f>
      </c>
      <c r="D498" s="7">
        <f>IF(OR(OFFSET('Inwentaryzacja'!$A$6,481,0)="",OFFSET('Inwentaryzacja'!$D$6,481,0)=""),"",OFFSET('Inwentaryzacja'!$D$6,481,0))</f>
      </c>
      <c r="F498" s="8">
        <f>IF(AND(ISNUMBER($D498),ISNUMBER($E498)),ROUND($D498*$E498,2),"")</f>
      </c>
    </row>
    <row r="499">
      <c r="A499" s="7">
        <f>IF(OR(OFFSET('Inwentaryzacja'!$A$6,482,0)&lt;&gt;"",LEN($D499)&gt;0,LEN($E499)&gt;0),COUNT($A$18:$A498)+1,"")</f>
      </c>
      <c r="B499" s="7">
        <f>IF(OFFSET('Inwentaryzacja'!$A$6,482,0)&lt;&gt;"",OFFSET('Inwentaryzacja'!$A$6,482,0),IF(AND(ISNUMBER($A498),COUNT($A499:$A$517)=0),"Spis zakończono na pozycji "&amp;$A498,""))</f>
      </c>
      <c r="C499" s="7">
        <f>IF(OR(OFFSET('Inwentaryzacja'!$A$6,482,0)="",OFFSET('Inwentaryzacja'!$B$6,482,0)=""),"",OFFSET('Inwentaryzacja'!$B$6,482,0))</f>
      </c>
      <c r="D499" s="7">
        <f>IF(OR(OFFSET('Inwentaryzacja'!$A$6,482,0)="",OFFSET('Inwentaryzacja'!$D$6,482,0)=""),"",OFFSET('Inwentaryzacja'!$D$6,482,0))</f>
      </c>
      <c r="F499" s="8">
        <f>IF(AND(ISNUMBER($D499),ISNUMBER($E499)),ROUND($D499*$E499,2),"")</f>
      </c>
    </row>
    <row r="500">
      <c r="A500" s="7">
        <f>IF(OR(OFFSET('Inwentaryzacja'!$A$6,483,0)&lt;&gt;"",LEN($D500)&gt;0,LEN($E500)&gt;0),COUNT($A$18:$A499)+1,"")</f>
      </c>
      <c r="B500" s="7">
        <f>IF(OFFSET('Inwentaryzacja'!$A$6,483,0)&lt;&gt;"",OFFSET('Inwentaryzacja'!$A$6,483,0),IF(AND(ISNUMBER($A499),COUNT($A500:$A$517)=0),"Spis zakończono na pozycji "&amp;$A499,""))</f>
      </c>
      <c r="C500" s="7">
        <f>IF(OR(OFFSET('Inwentaryzacja'!$A$6,483,0)="",OFFSET('Inwentaryzacja'!$B$6,483,0)=""),"",OFFSET('Inwentaryzacja'!$B$6,483,0))</f>
      </c>
      <c r="D500" s="7">
        <f>IF(OR(OFFSET('Inwentaryzacja'!$A$6,483,0)="",OFFSET('Inwentaryzacja'!$D$6,483,0)=""),"",OFFSET('Inwentaryzacja'!$D$6,483,0))</f>
      </c>
      <c r="F500" s="8">
        <f>IF(AND(ISNUMBER($D500),ISNUMBER($E500)),ROUND($D500*$E500,2),"")</f>
      </c>
    </row>
    <row r="501">
      <c r="A501" s="7">
        <f>IF(OR(OFFSET('Inwentaryzacja'!$A$6,484,0)&lt;&gt;"",LEN($D501)&gt;0,LEN($E501)&gt;0),COUNT($A$18:$A500)+1,"")</f>
      </c>
      <c r="B501" s="7">
        <f>IF(OFFSET('Inwentaryzacja'!$A$6,484,0)&lt;&gt;"",OFFSET('Inwentaryzacja'!$A$6,484,0),IF(AND(ISNUMBER($A500),COUNT($A501:$A$517)=0),"Spis zakończono na pozycji "&amp;$A500,""))</f>
      </c>
      <c r="C501" s="7">
        <f>IF(OR(OFFSET('Inwentaryzacja'!$A$6,484,0)="",OFFSET('Inwentaryzacja'!$B$6,484,0)=""),"",OFFSET('Inwentaryzacja'!$B$6,484,0))</f>
      </c>
      <c r="D501" s="7">
        <f>IF(OR(OFFSET('Inwentaryzacja'!$A$6,484,0)="",OFFSET('Inwentaryzacja'!$D$6,484,0)=""),"",OFFSET('Inwentaryzacja'!$D$6,484,0))</f>
      </c>
      <c r="F501" s="8">
        <f>IF(AND(ISNUMBER($D501),ISNUMBER($E501)),ROUND($D501*$E501,2),"")</f>
      </c>
    </row>
    <row r="502">
      <c r="A502" s="7">
        <f>IF(OR(OFFSET('Inwentaryzacja'!$A$6,485,0)&lt;&gt;"",LEN($D502)&gt;0,LEN($E502)&gt;0),COUNT($A$18:$A501)+1,"")</f>
      </c>
      <c r="B502" s="7">
        <f>IF(OFFSET('Inwentaryzacja'!$A$6,485,0)&lt;&gt;"",OFFSET('Inwentaryzacja'!$A$6,485,0),IF(AND(ISNUMBER($A501),COUNT($A502:$A$517)=0),"Spis zakończono na pozycji "&amp;$A501,""))</f>
      </c>
      <c r="C502" s="7">
        <f>IF(OR(OFFSET('Inwentaryzacja'!$A$6,485,0)="",OFFSET('Inwentaryzacja'!$B$6,485,0)=""),"",OFFSET('Inwentaryzacja'!$B$6,485,0))</f>
      </c>
      <c r="D502" s="7">
        <f>IF(OR(OFFSET('Inwentaryzacja'!$A$6,485,0)="",OFFSET('Inwentaryzacja'!$D$6,485,0)=""),"",OFFSET('Inwentaryzacja'!$D$6,485,0))</f>
      </c>
      <c r="F502" s="8">
        <f>IF(AND(ISNUMBER($D502),ISNUMBER($E502)),ROUND($D502*$E502,2),"")</f>
      </c>
    </row>
    <row r="503">
      <c r="A503" s="7">
        <f>IF(OR(OFFSET('Inwentaryzacja'!$A$6,486,0)&lt;&gt;"",LEN($D503)&gt;0,LEN($E503)&gt;0),COUNT($A$18:$A502)+1,"")</f>
      </c>
      <c r="B503" s="7">
        <f>IF(OFFSET('Inwentaryzacja'!$A$6,486,0)&lt;&gt;"",OFFSET('Inwentaryzacja'!$A$6,486,0),IF(AND(ISNUMBER($A502),COUNT($A503:$A$517)=0),"Spis zakończono na pozycji "&amp;$A502,""))</f>
      </c>
      <c r="C503" s="7">
        <f>IF(OR(OFFSET('Inwentaryzacja'!$A$6,486,0)="",OFFSET('Inwentaryzacja'!$B$6,486,0)=""),"",OFFSET('Inwentaryzacja'!$B$6,486,0))</f>
      </c>
      <c r="D503" s="7">
        <f>IF(OR(OFFSET('Inwentaryzacja'!$A$6,486,0)="",OFFSET('Inwentaryzacja'!$D$6,486,0)=""),"",OFFSET('Inwentaryzacja'!$D$6,486,0))</f>
      </c>
      <c r="F503" s="8">
        <f>IF(AND(ISNUMBER($D503),ISNUMBER($E503)),ROUND($D503*$E503,2),"")</f>
      </c>
    </row>
    <row r="504">
      <c r="A504" s="7">
        <f>IF(OR(OFFSET('Inwentaryzacja'!$A$6,487,0)&lt;&gt;"",LEN($D504)&gt;0,LEN($E504)&gt;0),COUNT($A$18:$A503)+1,"")</f>
      </c>
      <c r="B504" s="7">
        <f>IF(OFFSET('Inwentaryzacja'!$A$6,487,0)&lt;&gt;"",OFFSET('Inwentaryzacja'!$A$6,487,0),IF(AND(ISNUMBER($A503),COUNT($A504:$A$517)=0),"Spis zakończono na pozycji "&amp;$A503,""))</f>
      </c>
      <c r="C504" s="7">
        <f>IF(OR(OFFSET('Inwentaryzacja'!$A$6,487,0)="",OFFSET('Inwentaryzacja'!$B$6,487,0)=""),"",OFFSET('Inwentaryzacja'!$B$6,487,0))</f>
      </c>
      <c r="D504" s="7">
        <f>IF(OR(OFFSET('Inwentaryzacja'!$A$6,487,0)="",OFFSET('Inwentaryzacja'!$D$6,487,0)=""),"",OFFSET('Inwentaryzacja'!$D$6,487,0))</f>
      </c>
      <c r="F504" s="8">
        <f>IF(AND(ISNUMBER($D504),ISNUMBER($E504)),ROUND($D504*$E504,2),"")</f>
      </c>
    </row>
    <row r="505">
      <c r="A505" s="7">
        <f>IF(OR(OFFSET('Inwentaryzacja'!$A$6,488,0)&lt;&gt;"",LEN($D505)&gt;0,LEN($E505)&gt;0),COUNT($A$18:$A504)+1,"")</f>
      </c>
      <c r="B505" s="7">
        <f>IF(OFFSET('Inwentaryzacja'!$A$6,488,0)&lt;&gt;"",OFFSET('Inwentaryzacja'!$A$6,488,0),IF(AND(ISNUMBER($A504),COUNT($A505:$A$517)=0),"Spis zakończono na pozycji "&amp;$A504,""))</f>
      </c>
      <c r="C505" s="7">
        <f>IF(OR(OFFSET('Inwentaryzacja'!$A$6,488,0)="",OFFSET('Inwentaryzacja'!$B$6,488,0)=""),"",OFFSET('Inwentaryzacja'!$B$6,488,0))</f>
      </c>
      <c r="D505" s="7">
        <f>IF(OR(OFFSET('Inwentaryzacja'!$A$6,488,0)="",OFFSET('Inwentaryzacja'!$D$6,488,0)=""),"",OFFSET('Inwentaryzacja'!$D$6,488,0))</f>
      </c>
      <c r="F505" s="8">
        <f>IF(AND(ISNUMBER($D505),ISNUMBER($E505)),ROUND($D505*$E505,2),"")</f>
      </c>
    </row>
    <row r="506">
      <c r="A506" s="7">
        <f>IF(OR(OFFSET('Inwentaryzacja'!$A$6,489,0)&lt;&gt;"",LEN($D506)&gt;0,LEN($E506)&gt;0),COUNT($A$18:$A505)+1,"")</f>
      </c>
      <c r="B506" s="7">
        <f>IF(OFFSET('Inwentaryzacja'!$A$6,489,0)&lt;&gt;"",OFFSET('Inwentaryzacja'!$A$6,489,0),IF(AND(ISNUMBER($A505),COUNT($A506:$A$517)=0),"Spis zakończono na pozycji "&amp;$A505,""))</f>
      </c>
      <c r="C506" s="7">
        <f>IF(OR(OFFSET('Inwentaryzacja'!$A$6,489,0)="",OFFSET('Inwentaryzacja'!$B$6,489,0)=""),"",OFFSET('Inwentaryzacja'!$B$6,489,0))</f>
      </c>
      <c r="D506" s="7">
        <f>IF(OR(OFFSET('Inwentaryzacja'!$A$6,489,0)="",OFFSET('Inwentaryzacja'!$D$6,489,0)=""),"",OFFSET('Inwentaryzacja'!$D$6,489,0))</f>
      </c>
      <c r="F506" s="8">
        <f>IF(AND(ISNUMBER($D506),ISNUMBER($E506)),ROUND($D506*$E506,2),"")</f>
      </c>
    </row>
    <row r="507">
      <c r="A507" s="7">
        <f>IF(OR(OFFSET('Inwentaryzacja'!$A$6,490,0)&lt;&gt;"",LEN($D507)&gt;0,LEN($E507)&gt;0),COUNT($A$18:$A506)+1,"")</f>
      </c>
      <c r="B507" s="7">
        <f>IF(OFFSET('Inwentaryzacja'!$A$6,490,0)&lt;&gt;"",OFFSET('Inwentaryzacja'!$A$6,490,0),IF(AND(ISNUMBER($A506),COUNT($A507:$A$517)=0),"Spis zakończono na pozycji "&amp;$A506,""))</f>
      </c>
      <c r="C507" s="7">
        <f>IF(OR(OFFSET('Inwentaryzacja'!$A$6,490,0)="",OFFSET('Inwentaryzacja'!$B$6,490,0)=""),"",OFFSET('Inwentaryzacja'!$B$6,490,0))</f>
      </c>
      <c r="D507" s="7">
        <f>IF(OR(OFFSET('Inwentaryzacja'!$A$6,490,0)="",OFFSET('Inwentaryzacja'!$D$6,490,0)=""),"",OFFSET('Inwentaryzacja'!$D$6,490,0))</f>
      </c>
      <c r="F507" s="8">
        <f>IF(AND(ISNUMBER($D507),ISNUMBER($E507)),ROUND($D507*$E507,2),"")</f>
      </c>
    </row>
    <row r="508">
      <c r="A508" s="7">
        <f>IF(OR(OFFSET('Inwentaryzacja'!$A$6,491,0)&lt;&gt;"",LEN($D508)&gt;0,LEN($E508)&gt;0),COUNT($A$18:$A507)+1,"")</f>
      </c>
      <c r="B508" s="7">
        <f>IF(OFFSET('Inwentaryzacja'!$A$6,491,0)&lt;&gt;"",OFFSET('Inwentaryzacja'!$A$6,491,0),IF(AND(ISNUMBER($A507),COUNT($A508:$A$517)=0),"Spis zakończono na pozycji "&amp;$A507,""))</f>
      </c>
      <c r="C508" s="7">
        <f>IF(OR(OFFSET('Inwentaryzacja'!$A$6,491,0)="",OFFSET('Inwentaryzacja'!$B$6,491,0)=""),"",OFFSET('Inwentaryzacja'!$B$6,491,0))</f>
      </c>
      <c r="D508" s="7">
        <f>IF(OR(OFFSET('Inwentaryzacja'!$A$6,491,0)="",OFFSET('Inwentaryzacja'!$D$6,491,0)=""),"",OFFSET('Inwentaryzacja'!$D$6,491,0))</f>
      </c>
      <c r="F508" s="8">
        <f>IF(AND(ISNUMBER($D508),ISNUMBER($E508)),ROUND($D508*$E508,2),"")</f>
      </c>
    </row>
    <row r="509">
      <c r="A509" s="7">
        <f>IF(OR(OFFSET('Inwentaryzacja'!$A$6,492,0)&lt;&gt;"",LEN($D509)&gt;0,LEN($E509)&gt;0),COUNT($A$18:$A508)+1,"")</f>
      </c>
      <c r="B509" s="7">
        <f>IF(OFFSET('Inwentaryzacja'!$A$6,492,0)&lt;&gt;"",OFFSET('Inwentaryzacja'!$A$6,492,0),IF(AND(ISNUMBER($A508),COUNT($A509:$A$517)=0),"Spis zakończono na pozycji "&amp;$A508,""))</f>
      </c>
      <c r="C509" s="7">
        <f>IF(OR(OFFSET('Inwentaryzacja'!$A$6,492,0)="",OFFSET('Inwentaryzacja'!$B$6,492,0)=""),"",OFFSET('Inwentaryzacja'!$B$6,492,0))</f>
      </c>
      <c r="D509" s="7">
        <f>IF(OR(OFFSET('Inwentaryzacja'!$A$6,492,0)="",OFFSET('Inwentaryzacja'!$D$6,492,0)=""),"",OFFSET('Inwentaryzacja'!$D$6,492,0))</f>
      </c>
      <c r="F509" s="8">
        <f>IF(AND(ISNUMBER($D509),ISNUMBER($E509)),ROUND($D509*$E509,2),"")</f>
      </c>
    </row>
    <row r="510">
      <c r="A510" s="7">
        <f>IF(OR(OFFSET('Inwentaryzacja'!$A$6,493,0)&lt;&gt;"",LEN($D510)&gt;0,LEN($E510)&gt;0),COUNT($A$18:$A509)+1,"")</f>
      </c>
      <c r="B510" s="7">
        <f>IF(OFFSET('Inwentaryzacja'!$A$6,493,0)&lt;&gt;"",OFFSET('Inwentaryzacja'!$A$6,493,0),IF(AND(ISNUMBER($A509),COUNT($A510:$A$517)=0),"Spis zakończono na pozycji "&amp;$A509,""))</f>
      </c>
      <c r="C510" s="7">
        <f>IF(OR(OFFSET('Inwentaryzacja'!$A$6,493,0)="",OFFSET('Inwentaryzacja'!$B$6,493,0)=""),"",OFFSET('Inwentaryzacja'!$B$6,493,0))</f>
      </c>
      <c r="D510" s="7">
        <f>IF(OR(OFFSET('Inwentaryzacja'!$A$6,493,0)="",OFFSET('Inwentaryzacja'!$D$6,493,0)=""),"",OFFSET('Inwentaryzacja'!$D$6,493,0))</f>
      </c>
      <c r="F510" s="8">
        <f>IF(AND(ISNUMBER($D510),ISNUMBER($E510)),ROUND($D510*$E510,2),"")</f>
      </c>
    </row>
    <row r="511">
      <c r="A511" s="7">
        <f>IF(OR(OFFSET('Inwentaryzacja'!$A$6,494,0)&lt;&gt;"",LEN($D511)&gt;0,LEN($E511)&gt;0),COUNT($A$18:$A510)+1,"")</f>
      </c>
      <c r="B511" s="7">
        <f>IF(OFFSET('Inwentaryzacja'!$A$6,494,0)&lt;&gt;"",OFFSET('Inwentaryzacja'!$A$6,494,0),IF(AND(ISNUMBER($A510),COUNT($A511:$A$517)=0),"Spis zakończono na pozycji "&amp;$A510,""))</f>
      </c>
      <c r="C511" s="7">
        <f>IF(OR(OFFSET('Inwentaryzacja'!$A$6,494,0)="",OFFSET('Inwentaryzacja'!$B$6,494,0)=""),"",OFFSET('Inwentaryzacja'!$B$6,494,0))</f>
      </c>
      <c r="D511" s="7">
        <f>IF(OR(OFFSET('Inwentaryzacja'!$A$6,494,0)="",OFFSET('Inwentaryzacja'!$D$6,494,0)=""),"",OFFSET('Inwentaryzacja'!$D$6,494,0))</f>
      </c>
      <c r="F511" s="8">
        <f>IF(AND(ISNUMBER($D511),ISNUMBER($E511)),ROUND($D511*$E511,2),"")</f>
      </c>
    </row>
    <row r="512">
      <c r="A512" s="7">
        <f>IF(OR(OFFSET('Inwentaryzacja'!$A$6,495,0)&lt;&gt;"",LEN($D512)&gt;0,LEN($E512)&gt;0),COUNT($A$18:$A511)+1,"")</f>
      </c>
      <c r="B512" s="7">
        <f>IF(OFFSET('Inwentaryzacja'!$A$6,495,0)&lt;&gt;"",OFFSET('Inwentaryzacja'!$A$6,495,0),IF(AND(ISNUMBER($A511),COUNT($A512:$A$517)=0),"Spis zakończono na pozycji "&amp;$A511,""))</f>
      </c>
      <c r="C512" s="7">
        <f>IF(OR(OFFSET('Inwentaryzacja'!$A$6,495,0)="",OFFSET('Inwentaryzacja'!$B$6,495,0)=""),"",OFFSET('Inwentaryzacja'!$B$6,495,0))</f>
      </c>
      <c r="D512" s="7">
        <f>IF(OR(OFFSET('Inwentaryzacja'!$A$6,495,0)="",OFFSET('Inwentaryzacja'!$D$6,495,0)=""),"",OFFSET('Inwentaryzacja'!$D$6,495,0))</f>
      </c>
      <c r="F512" s="8">
        <f>IF(AND(ISNUMBER($D512),ISNUMBER($E512)),ROUND($D512*$E512,2),"")</f>
      </c>
    </row>
    <row r="513">
      <c r="A513" s="7">
        <f>IF(OR(OFFSET('Inwentaryzacja'!$A$6,496,0)&lt;&gt;"",LEN($D513)&gt;0,LEN($E513)&gt;0),COUNT($A$18:$A512)+1,"")</f>
      </c>
      <c r="B513" s="7">
        <f>IF(OFFSET('Inwentaryzacja'!$A$6,496,0)&lt;&gt;"",OFFSET('Inwentaryzacja'!$A$6,496,0),IF(AND(ISNUMBER($A512),COUNT($A513:$A$517)=0),"Spis zakończono na pozycji "&amp;$A512,""))</f>
      </c>
      <c r="C513" s="7">
        <f>IF(OR(OFFSET('Inwentaryzacja'!$A$6,496,0)="",OFFSET('Inwentaryzacja'!$B$6,496,0)=""),"",OFFSET('Inwentaryzacja'!$B$6,496,0))</f>
      </c>
      <c r="D513" s="7">
        <f>IF(OR(OFFSET('Inwentaryzacja'!$A$6,496,0)="",OFFSET('Inwentaryzacja'!$D$6,496,0)=""),"",OFFSET('Inwentaryzacja'!$D$6,496,0))</f>
      </c>
      <c r="F513" s="8">
        <f>IF(AND(ISNUMBER($D513),ISNUMBER($E513)),ROUND($D513*$E513,2),"")</f>
      </c>
    </row>
    <row r="514">
      <c r="A514" s="7">
        <f>IF(OR(OFFSET('Inwentaryzacja'!$A$6,497,0)&lt;&gt;"",LEN($D514)&gt;0,LEN($E514)&gt;0),COUNT($A$18:$A513)+1,"")</f>
      </c>
      <c r="B514" s="7">
        <f>IF(OFFSET('Inwentaryzacja'!$A$6,497,0)&lt;&gt;"",OFFSET('Inwentaryzacja'!$A$6,497,0),IF(AND(ISNUMBER($A513),COUNT($A514:$A$517)=0),"Spis zakończono na pozycji "&amp;$A513,""))</f>
      </c>
      <c r="C514" s="7">
        <f>IF(OR(OFFSET('Inwentaryzacja'!$A$6,497,0)="",OFFSET('Inwentaryzacja'!$B$6,497,0)=""),"",OFFSET('Inwentaryzacja'!$B$6,497,0))</f>
      </c>
      <c r="D514" s="7">
        <f>IF(OR(OFFSET('Inwentaryzacja'!$A$6,497,0)="",OFFSET('Inwentaryzacja'!$D$6,497,0)=""),"",OFFSET('Inwentaryzacja'!$D$6,497,0))</f>
      </c>
      <c r="F514" s="8">
        <f>IF(AND(ISNUMBER($D514),ISNUMBER($E514)),ROUND($D514*$E514,2),"")</f>
      </c>
    </row>
    <row r="515">
      <c r="A515" s="7">
        <f>IF(OR(OFFSET('Inwentaryzacja'!$A$6,498,0)&lt;&gt;"",LEN($D515)&gt;0,LEN($E515)&gt;0),COUNT($A$18:$A514)+1,"")</f>
      </c>
      <c r="B515" s="7">
        <f>IF(OFFSET('Inwentaryzacja'!$A$6,498,0)&lt;&gt;"",OFFSET('Inwentaryzacja'!$A$6,498,0),IF(AND(ISNUMBER($A514),COUNT($A515:$A$517)=0),"Spis zakończono na pozycji "&amp;$A514,""))</f>
      </c>
      <c r="C515" s="7">
        <f>IF(OR(OFFSET('Inwentaryzacja'!$A$6,498,0)="",OFFSET('Inwentaryzacja'!$B$6,498,0)=""),"",OFFSET('Inwentaryzacja'!$B$6,498,0))</f>
      </c>
      <c r="D515" s="7">
        <f>IF(OR(OFFSET('Inwentaryzacja'!$A$6,498,0)="",OFFSET('Inwentaryzacja'!$D$6,498,0)=""),"",OFFSET('Inwentaryzacja'!$D$6,498,0))</f>
      </c>
      <c r="F515" s="8">
        <f>IF(AND(ISNUMBER($D515),ISNUMBER($E515)),ROUND($D515*$E515,2),"")</f>
      </c>
    </row>
    <row r="516">
      <c r="A516" s="7">
        <f>IF(OR(OFFSET('Inwentaryzacja'!$A$6,499,0)&lt;&gt;"",LEN($D516)&gt;0,LEN($E516)&gt;0),COUNT($A$18:$A515)+1,"")</f>
      </c>
      <c r="B516" s="7">
        <f>IF(OFFSET('Inwentaryzacja'!$A$6,499,0)&lt;&gt;"",OFFSET('Inwentaryzacja'!$A$6,499,0),IF(AND(ISNUMBER($A515),COUNT($A516:$A$517)=0),"Spis zakończono na pozycji "&amp;$A515,""))</f>
      </c>
      <c r="C516" s="7">
        <f>IF(OR(OFFSET('Inwentaryzacja'!$A$6,499,0)="",OFFSET('Inwentaryzacja'!$B$6,499,0)=""),"",OFFSET('Inwentaryzacja'!$B$6,499,0))</f>
      </c>
      <c r="D516" s="7">
        <f>IF(OR(OFFSET('Inwentaryzacja'!$A$6,499,0)="",OFFSET('Inwentaryzacja'!$D$6,499,0)=""),"",OFFSET('Inwentaryzacja'!$D$6,499,0))</f>
      </c>
      <c r="F516" s="8">
        <f>IF(AND(ISNUMBER($D516),ISNUMBER($E516)),ROUND($D516*$E516,2),"")</f>
      </c>
    </row>
    <row r="517">
      <c r="A517" s="7">
        <f>IF(OR(OFFSET('Inwentaryzacja'!$A$6,500,0)&lt;&gt;"",LEN($D517)&gt;0,LEN($E517)&gt;0),COUNT($A$18:$A516)+1,"")</f>
      </c>
      <c r="B517" s="7">
        <f>IF(OFFSET('Inwentaryzacja'!$A$6,500,0)&lt;&gt;"",OFFSET('Inwentaryzacja'!$A$6,500,0),IF(AND(ISNUMBER($A516),COUNT($A517:$A$517)=0),"Spis zakończono na pozycji "&amp;$A516,""))</f>
      </c>
      <c r="C517" s="7">
        <f>IF(OR(OFFSET('Inwentaryzacja'!$A$6,500,0)="",OFFSET('Inwentaryzacja'!$B$6,500,0)=""),"",OFFSET('Inwentaryzacja'!$B$6,500,0))</f>
      </c>
      <c r="D517" s="7">
        <f>IF(OR(OFFSET('Inwentaryzacja'!$A$6,500,0)="",OFFSET('Inwentaryzacja'!$D$6,500,0)=""),"",OFFSET('Inwentaryzacja'!$D$6,500,0))</f>
      </c>
      <c r="F517" s="8">
        <f>IF(AND(ISNUMBER($D517),ISNUMBER($E517)),ROUND($D517*$E517,2),"")</f>
      </c>
    </row>
    <row r="518">
      <c r="B518" s="7">
        <f>IF(ISNUMBER($A517),"Spis zakończono na pozycji "&amp;$A517,"")</f>
      </c>
    </row>
  </sheetData>
  <conditionalFormatting sqref="A18:H518">
    <cfRule type="expression" dxfId="1" priority="1">
      <formula>OR(ROW()&lt;=47,COUNT($A18:$A$517)&gt;0,ISNUMBER($A17))</formula>
    </cfRule>
  </conditionalFormatting>
  <conditionalFormatting sqref="A18:H517">
    <cfRule type="expression" dxfId="2" priority="2">
      <formula>AND(ISNUMBER($A18),OR(NOT(ISNUMBER($D18)),NOT(ISNUMBER($E18))))</formula>
    </cfRule>
  </conditionalFormatting>
  <pageMargins left="0.5" right="0.5" top="0.6" bottom="0.95" header="0.3" footer="0.3"/>
  <pageSetup paperSize="9" orientation="portrait" fitToWidth="1" fitToHeight="0"/>
  <headerFooter>
    <oddFooter>&amp;L&amp;9Podpis właściciela zakładu (wspólników) ______________________&amp;R&amp;9Strona &amp;P z &amp;N
invenva.com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Ten plik przygotowała Invenva, aplikacja magazynowa dla małych sklepów i zespołów.</t>
        </is>
      </c>
    </row>
    <row r="2">
      <c r="A2" t="inlineStr">
        <is>
          <t xml:space="preserve">Liczenie w Invenva utrzymuje każdy wiersz na miejscu, liczy przez skanowanie kodów kreskowych i zapisuje jeden zapis inwentaryzacji z tym, kto, kiedy, przed i po.</t>
        </is>
      </c>
    </row>
    <row r="3">
      <c r="A3" t="inlineStr" s="2">
        <is>
          <t xml:space="preserve">Otwórz Invenva</t>
        </is>
      </c>
    </row>
  </sheetData>
  <hyperlinks>
    <hyperlink ref="A3" r:id="rId1" display="Otwórz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Spis z natury na koniec 2026 roku: arkusz z cenami, wartością i podpisem właściciela</dc:title>
  <dc:creator>Invenva</dc:creator>
  <cp:lastModifiedBy>Invenva</cp:lastModifiedBy>
</cp:coreProperties>
</file>